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MBJuBDjJWEO6EQ7wiyKDG6KwWtF3sIPP04n+ZFa7fqvEn27NIGvCNMmaanAiSdlNfc1Vy7VpzTJm9MurBH+yw==" workbookSaltValue="/nvW4QpVp1qJD83Nh5/rv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20" i="14"/>
  <c r="V20" i="14" s="1"/>
  <c r="P18" i="17"/>
  <c r="BK19" i="11"/>
  <c r="S14" i="16"/>
  <c r="P14" i="16"/>
  <c r="F13" i="16"/>
  <c r="Z14" i="17"/>
  <c r="K26" i="2"/>
  <c r="N26" i="2"/>
  <c r="M23" i="2"/>
  <c r="K30"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L16" i="2"/>
  <c r="AO14" i="21"/>
  <c r="L9" i="2"/>
  <c r="AP14" i="16"/>
  <c r="V25" i="16"/>
  <c r="T23" i="17"/>
  <c r="T26" i="17" s="1"/>
  <c r="T30" i="17" s="1"/>
  <c r="U26" i="16"/>
  <c r="BG16" i="13"/>
  <c r="BF17" i="13"/>
  <c r="E32" i="20"/>
  <c r="M32" i="20"/>
  <c r="AI32" i="20"/>
  <c r="AM32" i="20"/>
  <c r="U10" i="11"/>
  <c r="I32" i="20"/>
  <c r="J32" i="20"/>
  <c r="Q32" i="20"/>
  <c r="AK32" i="20"/>
  <c r="AE32" i="20"/>
  <c r="U12" i="11"/>
  <c r="AU32" i="20"/>
  <c r="AZ32" i="20"/>
  <c r="G14" i="14"/>
  <c r="O18" i="11"/>
  <c r="R32" i="20"/>
  <c r="W32" i="20"/>
  <c r="G30" i="14"/>
  <c r="G23" i="14"/>
  <c r="U18" i="11"/>
  <c r="Y32" i="20"/>
  <c r="L32" i="20"/>
  <c r="H32" i="20"/>
  <c r="T32" i="21"/>
  <c r="AF32" i="20"/>
  <c r="S32" i="20"/>
  <c r="AQ32" i="21"/>
  <c r="O17" i="11"/>
  <c r="AJ32" i="20"/>
  <c r="AX32" i="20"/>
  <c r="AG32" i="20"/>
  <c r="F32" i="20"/>
  <c r="G26" i="14"/>
  <c r="K32" i="20"/>
  <c r="BF17" i="8" l="1"/>
  <c r="L17" i="14"/>
  <c r="T31" i="8"/>
  <c r="X16" i="16"/>
  <c r="X23" i="16" s="1"/>
  <c r="L18" i="2"/>
  <c r="L10" i="2"/>
  <c r="BI22" i="11"/>
  <c r="BF16" i="11"/>
  <c r="BJ10" i="11"/>
  <c r="BH25" i="16"/>
  <c r="P16" i="17"/>
  <c r="S11" i="17"/>
  <c r="BW28" i="20"/>
  <c r="BW11" i="20"/>
  <c r="BU29" i="17"/>
  <c r="BW13" i="20"/>
  <c r="BV28" i="16"/>
  <c r="BG21" i="11"/>
  <c r="T18" i="16"/>
  <c r="BL21" i="11"/>
  <c r="BL11" i="11"/>
  <c r="BM13" i="11"/>
  <c r="BF22" i="11"/>
  <c r="BF29" i="11"/>
  <c r="BH16" i="1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R13" i="14"/>
  <c r="S12" i="14"/>
  <c r="V12" i="14" s="1"/>
  <c r="S19" i="14"/>
  <c r="V19" i="14" s="1"/>
  <c r="S17" i="14"/>
  <c r="V17" i="14" s="1"/>
  <c r="S29" i="14"/>
  <c r="V29" i="14" s="1"/>
  <c r="R10" i="14"/>
  <c r="R12" i="14"/>
  <c r="R17" i="14"/>
  <c r="R19" i="14"/>
  <c r="R29" i="14"/>
  <c r="T13" i="11"/>
  <c r="T21" i="11"/>
  <c r="T25" i="11"/>
  <c r="T29"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J23" i="11" s="1"/>
  <c r="BF19" i="11"/>
  <c r="BH18" i="16"/>
  <c r="BL9" i="11"/>
  <c r="BH21" i="16"/>
  <c r="BF11"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<sst xmlns="http://schemas.openxmlformats.org/spreadsheetml/2006/main" count="2682" uniqueCount="1193">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</sst>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DbVs5V9UUUl5vjjnx3EcB2M8lZKMfJOjONpzN217SnqyFQv/VL0sHlmOpXOci0CjOrcLUzQ6XK5hrDTwd39ew==" saltValue="9D1gn9lS9hfR9YK/hmWZ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16</v>
      </c>
      <c r="F10" s="240">
        <f>IF(ISNUMBER(Datos!K10),Datos!K10," - ")</f>
        <v>16</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21.052583862194016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16</v>
      </c>
      <c r="F14" s="1409">
        <f>SUBTOTAL(9,F9:F13)</f>
        <v>16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1486</v>
      </c>
      <c r="D17" s="239">
        <f>IF(ISNUMBER(IF(D_I="SI",Datos!I17,Datos!I17+Datos!AC17)),IF(D_I="SI",Datos!I17,Datos!I17+Datos!AC17)," - ")</f>
        <v>1484</v>
      </c>
      <c r="E17" s="240">
        <f>IF(ISNUMBER(IF(D_I="SI",Datos!J17,Datos!J17+Datos!AD17)),IF(D_I="SI",Datos!J17,Datos!J17+Datos!AD17)," - ")</f>
        <v>2121</v>
      </c>
      <c r="F17" s="240">
        <f>IF(ISNUMBER(IF(D_I="SI",Datos!K17,Datos!K17+Datos!AE17)),IF(D_I="SI",Datos!K17,Datos!K17+Datos!AE17)," - ")</f>
        <v>2053</v>
      </c>
      <c r="G17" s="1390" t="str">
        <f>IF(Datos!E17&lt;&gt;"",Datos!E17,Datos!D17)</f>
        <v>04</v>
      </c>
      <c r="H17" s="241">
        <f>IF(ISNUMBER(IF(D_I="SI",Datos!L17,Datos!L17+Datos!AF17)),IF(D_I="SI",Datos!L17,Datos!L17+Datos!AF17)," - ")</f>
        <v>1554</v>
      </c>
      <c r="I17" s="1400" t="str">
        <f>IF(ISNUMBER(Datos!AS17/Datos!BM17),Datos!AS17/Datos!BM17," - ")</f>
        <v xml:space="preserve"> - </v>
      </c>
      <c r="J17" s="1401">
        <f>IF(ISNUMBER(Datos!BY17/Datos!CN17),Datos!BY17/Datos!CN17," - ")</f>
        <v>0</v>
      </c>
      <c r="K17" s="244">
        <f t="shared" si="3"/>
        <v>4.5760430686406457E-2</v>
      </c>
      <c r="L17" s="1402">
        <f>IF(ISNUMBER(NºAsuntos!I17/NºAsuntos!G17),(NºAsuntos!I17/NºAsuntos!G17)*11," - ")</f>
        <v>8.3263516804676083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72</v>
      </c>
      <c r="E18" s="240">
        <f>IF(ISNUMBER(IF(D_I="SI",Datos!J18,Datos!J18+Datos!AD18)),IF(D_I="SI",Datos!J18,Datos!J18+Datos!AD18)," - ")</f>
        <v>308</v>
      </c>
      <c r="F18" s="240">
        <f>IF(ISNUMBER(IF(D_I="SI",Datos!K18,Datos!K18+Datos!AE18)),IF(D_I="SI",Datos!K18,Datos!K18+Datos!AE18)," - ")</f>
        <v>302</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2.8410596026490067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1558</v>
      </c>
      <c r="D23" s="1407">
        <f>SUBTOTAL(9,D16:D22)</f>
        <v>1556</v>
      </c>
      <c r="E23" s="1408">
        <f>SUBTOTAL(9,E16:E22)</f>
        <v>2429</v>
      </c>
      <c r="F23" s="1408">
        <f>SUBTOTAL(9,F16:F22)</f>
        <v>2355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1582</v>
      </c>
      <c r="D31" s="1435">
        <f>SUBTOTAL(9,D9:D30)</f>
        <v>1580</v>
      </c>
      <c r="E31" s="1436">
        <f>SUBTOTAL(9,E9:E30)</f>
        <v>2445</v>
      </c>
      <c r="F31" s="1436">
        <f>SUBTOTAL(9,F9:F30)</f>
        <v>2371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stEee06jTMbQYm9/yb5VD6wXfy3NSKqoz8TQOHgV0gqQCXzS9C9A1OBS44oQXxb3A5yBe8SgH8o37aWhTfDYQ==" saltValue="Z2CiJNpY0yxi2jz4joyG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6NPoWXB0aayEHragmQVvf3WEIYcgPijcljv9bIMArb7rqcxO+Zkufj+n6kj6e08Pc5K6f1Hs5ljCfkis0HPbw==" saltValue="YNNCuvXXKN3IzTgsL5J71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16</v>
      </c>
      <c r="K10" s="194">
        <v>16</v>
      </c>
      <c r="L10" s="194">
        <v>24</v>
      </c>
      <c r="M10" s="194">
        <v>5</v>
      </c>
      <c r="N10" s="194">
        <v>4</v>
      </c>
      <c r="O10" s="194">
        <v>0</v>
      </c>
      <c r="P10" s="194">
        <v>8</v>
      </c>
      <c r="Q10" s="194">
        <v>12</v>
      </c>
      <c r="R10" s="194">
        <v>31</v>
      </c>
      <c r="S10" s="194">
        <v>39</v>
      </c>
      <c r="T10" s="194">
        <v>16</v>
      </c>
      <c r="U10" s="194">
        <v>18</v>
      </c>
      <c r="V10" s="194">
        <v>37</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39</v>
      </c>
      <c r="AZ10" s="139">
        <f t="shared" si="0"/>
        <v>16</v>
      </c>
      <c r="BA10" s="139">
        <f t="shared" si="0"/>
        <v>18</v>
      </c>
      <c r="BB10" s="139">
        <f t="shared" si="0"/>
        <v>37</v>
      </c>
      <c r="BC10" s="135">
        <f t="shared" si="0"/>
        <v>7</v>
      </c>
      <c r="BD10" s="136">
        <f>IF(ISNUMBER(BA10/AZ10),BA10/AZ10," - ")</f>
        <v>1.125</v>
      </c>
      <c r="BE10" s="137">
        <f>IF(ISNUMBER(BB10/BA10),BB10/BA10, " - ")</f>
        <v>2.0555555555555554</v>
      </c>
      <c r="BF10" s="137">
        <f>IF(ISNUMBER(BC10/BA10),BC10/BA10, " - ")</f>
        <v>0.3888888888888889</v>
      </c>
      <c r="BG10" s="209">
        <f>IF(ISNUMBER((AY10+AZ10)/BA10),(AY10+AZ10)/BA10," - ")</f>
        <v>3.0555555555555554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2102</v>
      </c>
      <c r="J12" s="196">
        <v>962</v>
      </c>
      <c r="K12" s="196">
        <v>1034</v>
      </c>
      <c r="L12" s="196">
        <v>2030</v>
      </c>
      <c r="M12" s="196">
        <v>298</v>
      </c>
      <c r="N12" s="196">
        <v>401</v>
      </c>
      <c r="O12" s="194">
        <v>413</v>
      </c>
      <c r="P12" s="196">
        <v>229</v>
      </c>
      <c r="Q12" s="196">
        <v>364</v>
      </c>
      <c r="R12" s="196">
        <v>2689</v>
      </c>
      <c r="S12" s="196">
        <v>2167</v>
      </c>
      <c r="T12" s="196">
        <v>1002</v>
      </c>
      <c r="U12" s="196">
        <v>928</v>
      </c>
      <c r="V12" s="196">
        <v>2241</v>
      </c>
      <c r="W12" s="196">
        <v>234</v>
      </c>
      <c r="X12" s="202">
        <v>417</v>
      </c>
      <c r="Y12" s="204">
        <v>77</v>
      </c>
      <c r="Z12" s="194">
        <v>73</v>
      </c>
      <c r="AA12" s="194">
        <v>69</v>
      </c>
      <c r="AB12" s="194">
        <v>81</v>
      </c>
      <c r="AC12" s="196">
        <v>0</v>
      </c>
      <c r="AD12" s="196">
        <v>0</v>
      </c>
      <c r="AE12" s="196">
        <v>0</v>
      </c>
      <c r="AF12" s="202">
        <v>0</v>
      </c>
      <c r="AG12" s="215">
        <v>116</v>
      </c>
      <c r="AH12" s="196">
        <v>71</v>
      </c>
      <c r="AI12" s="196">
        <v>77</v>
      </c>
      <c r="AJ12" s="216">
        <v>110</v>
      </c>
      <c r="AK12" s="195">
        <v>0</v>
      </c>
      <c r="AL12" s="196">
        <v>0</v>
      </c>
      <c r="AM12" s="196">
        <v>0</v>
      </c>
      <c r="AN12" s="202">
        <v>0</v>
      </c>
      <c r="AO12" s="283">
        <v>5</v>
      </c>
      <c r="AP12" s="168">
        <v>5</v>
      </c>
      <c r="AQ12" s="168">
        <v>5</v>
      </c>
      <c r="AR12" s="167">
        <v>5</v>
      </c>
      <c r="AS12" s="381" t="s">
        <v>1075</v>
      </c>
      <c r="AT12" s="216"/>
      <c r="AU12" s="215"/>
      <c r="AV12" s="216"/>
      <c r="AW12" s="215"/>
      <c r="AX12" s="216"/>
      <c r="AY12" s="136">
        <f t="shared" si="1"/>
        <v>2283</v>
      </c>
      <c r="AZ12" s="137">
        <f t="shared" si="1"/>
        <v>1073</v>
      </c>
      <c r="BA12" s="137">
        <f t="shared" si="1"/>
        <v>1005</v>
      </c>
      <c r="BB12" s="137">
        <f t="shared" si="1"/>
        <v>2351</v>
      </c>
      <c r="BC12" s="135">
        <f>IF(ISNUMBER(X12),X12," - ")</f>
        <v>417</v>
      </c>
      <c r="BD12" s="136">
        <f t="shared" si="2"/>
        <v>0.93662628145386762</v>
      </c>
      <c r="BE12" s="137">
        <f t="shared" si="3"/>
        <v>2.3393034825870647</v>
      </c>
      <c r="BF12" s="137">
        <f t="shared" si="4"/>
        <v>0.41492537313432837</v>
      </c>
      <c r="BG12" s="209">
        <f t="shared" si="5"/>
        <v>3.3393034825870647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2126</v>
      </c>
      <c r="J14" s="197">
        <f t="shared" si="7"/>
        <v>978</v>
      </c>
      <c r="K14" s="197">
        <f t="shared" si="7"/>
        <v>1050</v>
      </c>
      <c r="L14" s="197">
        <f t="shared" si="7"/>
        <v>2054</v>
      </c>
      <c r="M14" s="197">
        <f t="shared" si="7"/>
        <v>303</v>
      </c>
      <c r="N14" s="197">
        <f t="shared" si="7"/>
        <v>405</v>
      </c>
      <c r="O14" s="197">
        <f t="shared" si="7"/>
        <v>413</v>
      </c>
      <c r="P14" s="197">
        <f t="shared" si="7"/>
        <v>237</v>
      </c>
      <c r="Q14" s="197">
        <f t="shared" si="7"/>
        <v>376</v>
      </c>
      <c r="R14" s="197">
        <f t="shared" si="7"/>
        <v>2720</v>
      </c>
      <c r="S14" s="197">
        <f t="shared" si="7"/>
        <v>2206</v>
      </c>
      <c r="T14" s="197">
        <f t="shared" si="7"/>
        <v>1018</v>
      </c>
      <c r="U14" s="197">
        <f t="shared" si="7"/>
        <v>946</v>
      </c>
      <c r="V14" s="197">
        <f t="shared" si="7"/>
        <v>2278</v>
      </c>
      <c r="W14" s="197">
        <f t="shared" si="7"/>
        <v>241</v>
      </c>
      <c r="X14" s="197">
        <f t="shared" si="7"/>
        <v>417</v>
      </c>
      <c r="Y14" s="197">
        <f t="shared" si="7"/>
        <v>77</v>
      </c>
      <c r="Z14" s="197">
        <f t="shared" si="7"/>
        <v>73</v>
      </c>
      <c r="AA14" s="197">
        <f t="shared" si="7"/>
        <v>69</v>
      </c>
      <c r="AB14" s="197">
        <f t="shared" si="7"/>
        <v>81</v>
      </c>
      <c r="AC14" s="197">
        <f t="shared" si="7"/>
        <v>0</v>
      </c>
      <c r="AD14" s="197">
        <f t="shared" si="7"/>
        <v>0</v>
      </c>
      <c r="AE14" s="197">
        <f t="shared" si="7"/>
        <v>0</v>
      </c>
      <c r="AF14" s="197">
        <f>SUBTOTAL(9,AF9:AF13)</f>
        <v>0</v>
      </c>
      <c r="AG14" s="197">
        <f t="shared" ref="AG14:AT14" si="8">SUBTOTAL(9,AG8:AG13)</f>
        <v>116</v>
      </c>
      <c r="AH14" s="197">
        <f t="shared" si="8"/>
        <v>71</v>
      </c>
      <c r="AI14" s="197">
        <f t="shared" si="8"/>
        <v>77</v>
      </c>
      <c r="AJ14" s="197">
        <f t="shared" si="8"/>
        <v>110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2322</v>
      </c>
      <c r="AZ14" s="197">
        <f>SUBTOTAL(9,AZ8:AZ13)</f>
        <v>1089</v>
      </c>
      <c r="BA14" s="197">
        <f>SUBTOTAL(9,BA8:BA13)</f>
        <v>1023</v>
      </c>
      <c r="BB14" s="197">
        <f>SUBTOTAL(9,BB8:BB13)</f>
        <v>2388</v>
      </c>
      <c r="BC14" s="197">
        <f>SUBTOTAL(9,BC8:BC13)</f>
        <v>424</v>
      </c>
      <c r="BD14" s="219">
        <f>IF(ISNUMBER(BA14/AZ14),BA14/AZ14," - ")</f>
        <v>0.93939393939393945</v>
      </c>
      <c r="BE14" s="220">
        <f>IF(ISNUMBER(BB14/BA14),BB14/BA14, " - ")</f>
        <v>2.3343108504398828</v>
      </c>
      <c r="BF14" s="220">
        <f>IF(ISNUMBER(BC14/BA14),BC14/BA14, " - ")</f>
        <v>0.41446725317693062</v>
      </c>
      <c r="BG14" s="221">
        <f>IF(ISNUMBER((AY14+AZ14)/BA14),(AY14+AZ14)/BA14," - ")</f>
        <v>3.3343108504398828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1484</v>
      </c>
      <c r="J17" s="196">
        <v>2121</v>
      </c>
      <c r="K17" s="196">
        <v>2053</v>
      </c>
      <c r="L17" s="196">
        <v>1554</v>
      </c>
      <c r="M17" s="196">
        <v>250</v>
      </c>
      <c r="N17" s="196">
        <v>1370</v>
      </c>
      <c r="O17" s="194">
        <v>14</v>
      </c>
      <c r="P17" s="196">
        <v>41</v>
      </c>
      <c r="Q17" s="196">
        <v>60</v>
      </c>
      <c r="R17" s="196">
        <v>129</v>
      </c>
      <c r="S17" s="196">
        <v>1129</v>
      </c>
      <c r="T17" s="196">
        <v>1884</v>
      </c>
      <c r="U17" s="196">
        <v>1877</v>
      </c>
      <c r="V17" s="196">
        <v>1138</v>
      </c>
      <c r="W17" s="196">
        <v>228</v>
      </c>
      <c r="X17" s="202">
        <v>1238</v>
      </c>
      <c r="Y17" s="215">
        <v>0</v>
      </c>
      <c r="Z17" s="196">
        <v>0</v>
      </c>
      <c r="AA17" s="196">
        <v>0</v>
      </c>
      <c r="AB17" s="196">
        <v>0</v>
      </c>
      <c r="AC17" s="196">
        <v>0</v>
      </c>
      <c r="AD17" s="196">
        <v>12</v>
      </c>
      <c r="AE17" s="196">
        <v>9</v>
      </c>
      <c r="AF17" s="202">
        <v>3</v>
      </c>
      <c r="AG17" s="215">
        <v>0</v>
      </c>
      <c r="AH17" s="196">
        <v>0</v>
      </c>
      <c r="AI17" s="196">
        <v>0</v>
      </c>
      <c r="AJ17" s="216">
        <v>0</v>
      </c>
      <c r="AK17" s="195">
        <v>0</v>
      </c>
      <c r="AL17" s="196">
        <v>6</v>
      </c>
      <c r="AM17" s="196">
        <v>6</v>
      </c>
      <c r="AN17" s="202">
        <v>0</v>
      </c>
      <c r="AO17" s="283">
        <v>5</v>
      </c>
      <c r="AP17" s="168">
        <v>5</v>
      </c>
      <c r="AQ17" s="168">
        <v>5</v>
      </c>
      <c r="AR17" s="168">
        <v>5</v>
      </c>
      <c r="AS17" s="381" t="s">
        <v>650</v>
      </c>
      <c r="AT17" s="216"/>
      <c r="AU17" s="215"/>
      <c r="AV17" s="216"/>
      <c r="AW17" s="215"/>
      <c r="AX17" s="216"/>
      <c r="AY17" s="136">
        <f t="shared" si="10"/>
        <v>1129</v>
      </c>
      <c r="AZ17" s="137">
        <f t="shared" si="10"/>
        <v>1884</v>
      </c>
      <c r="BA17" s="137">
        <f t="shared" si="10"/>
        <v>1877</v>
      </c>
      <c r="BB17" s="137">
        <f t="shared" si="10"/>
        <v>1138</v>
      </c>
      <c r="BC17" s="135">
        <f>IF(ISNUMBER(W17),W17," - ")</f>
        <v>228</v>
      </c>
      <c r="BD17" s="136">
        <f t="shared" ref="BD17:BD22" si="12">IF(ISNUMBER(BA17/AZ17),BA17/AZ17," - ")</f>
        <v>0.99628450106157107</v>
      </c>
      <c r="BE17" s="137">
        <f t="shared" ref="BE17:BE22" si="13">IF(ISNUMBER(BB17/BA17),BB17/BA17, " - ")</f>
        <v>0.60628662759722962</v>
      </c>
      <c r="BF17" s="137">
        <f t="shared" ref="BF17:BF22" si="14">IF(ISNUMBER(BC17/BA17),BC17/BA17, " - ")</f>
        <v>0.12147043153969099</v>
      </c>
      <c r="BG17" s="209">
        <f t="shared" si="11"/>
        <v>1.6052210974960042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308</v>
      </c>
      <c r="K18" s="196">
        <v>302</v>
      </c>
      <c r="L18" s="196">
        <v>78</v>
      </c>
      <c r="M18" s="196">
        <v>48</v>
      </c>
      <c r="N18" s="196">
        <v>288</v>
      </c>
      <c r="O18" s="196">
        <v>0</v>
      </c>
      <c r="P18" s="196">
        <v>2</v>
      </c>
      <c r="Q18" s="196">
        <v>2</v>
      </c>
      <c r="R18" s="196">
        <v>6</v>
      </c>
      <c r="S18" s="196">
        <v>134</v>
      </c>
      <c r="T18" s="196">
        <v>449</v>
      </c>
      <c r="U18" s="196">
        <v>444</v>
      </c>
      <c r="V18" s="196">
        <v>139</v>
      </c>
      <c r="W18" s="196">
        <v>31</v>
      </c>
      <c r="X18" s="202">
        <v>368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449</v>
      </c>
      <c r="BA18" s="139">
        <f t="shared" si="15"/>
        <v>444</v>
      </c>
      <c r="BB18" s="139">
        <f t="shared" si="15"/>
        <v>139</v>
      </c>
      <c r="BC18" s="135">
        <f>IF(ISNUMBER(W18),W18," - ")</f>
        <v>31</v>
      </c>
      <c r="BD18" s="136">
        <f>IF(ISNUMBER(BA18/AZ18),BA18/AZ18," - ")</f>
        <v>0.98886414253897548</v>
      </c>
      <c r="BE18" s="137">
        <f>IF(ISNUMBER(BB18/BA18),BB18/BA18, " - ")</f>
        <v>0.31306306306306309</v>
      </c>
      <c r="BF18" s="137">
        <f>IF(ISNUMBER(BC18/BA18),BC18/BA18, " - ")</f>
        <v>6.9819819819819814E-2</v>
      </c>
      <c r="BG18" s="209">
        <f>IF(ISNUMBER((AY18+AZ18)/BA18),(AY18+AZ18)/BA18," - ")</f>
        <v>1.3130630630630631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1556</v>
      </c>
      <c r="J23" s="197">
        <f t="shared" si="21"/>
        <v>2429</v>
      </c>
      <c r="K23" s="197">
        <f t="shared" si="21"/>
        <v>2355</v>
      </c>
      <c r="L23" s="197">
        <f t="shared" si="21"/>
        <v>1632</v>
      </c>
      <c r="M23" s="197">
        <f t="shared" si="21"/>
        <v>298</v>
      </c>
      <c r="N23" s="197">
        <f t="shared" si="21"/>
        <v>1658</v>
      </c>
      <c r="O23" s="197">
        <f t="shared" si="21"/>
        <v>14</v>
      </c>
      <c r="P23" s="197">
        <f t="shared" si="21"/>
        <v>43</v>
      </c>
      <c r="Q23" s="197">
        <f t="shared" si="21"/>
        <v>62</v>
      </c>
      <c r="R23" s="197">
        <f t="shared" si="21"/>
        <v>135</v>
      </c>
      <c r="S23" s="197">
        <f t="shared" si="21"/>
        <v>1263</v>
      </c>
      <c r="T23" s="197">
        <f t="shared" si="21"/>
        <v>2333</v>
      </c>
      <c r="U23" s="197">
        <f t="shared" si="21"/>
        <v>2321</v>
      </c>
      <c r="V23" s="197">
        <f t="shared" si="21"/>
        <v>1277</v>
      </c>
      <c r="W23" s="197">
        <f t="shared" si="21"/>
        <v>259</v>
      </c>
      <c r="X23" s="197">
        <f t="shared" si="21"/>
        <v>1606</v>
      </c>
      <c r="Y23" s="197">
        <f t="shared" si="21"/>
        <v>0</v>
      </c>
      <c r="Z23" s="197">
        <f t="shared" si="21"/>
        <v>0</v>
      </c>
      <c r="AA23" s="197">
        <f t="shared" si="21"/>
        <v>0</v>
      </c>
      <c r="AB23" s="197">
        <f t="shared" si="21"/>
        <v>0</v>
      </c>
      <c r="AC23" s="197">
        <f t="shared" si="21"/>
        <v>0</v>
      </c>
      <c r="AD23" s="197">
        <f t="shared" si="21"/>
        <v>12</v>
      </c>
      <c r="AE23" s="197">
        <f t="shared" si="21"/>
        <v>9</v>
      </c>
      <c r="AF23" s="197">
        <f t="shared" si="21"/>
        <v>3</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1263</v>
      </c>
      <c r="AZ23" s="197">
        <f>SUBTOTAL(9,AZ15:AZ22)</f>
        <v>2333</v>
      </c>
      <c r="BA23" s="197">
        <f>SUBTOTAL(9,BA15:BA22)</f>
        <v>2321</v>
      </c>
      <c r="BB23" s="197">
        <f>SUBTOTAL(9,BB15:BB22)</f>
        <v>1277</v>
      </c>
      <c r="BC23" s="197">
        <f>SUBTOTAL(9,BC15:BC22)</f>
        <v>259</v>
      </c>
      <c r="BD23" s="219">
        <f>IF(ISNUMBER(BA23/AZ23),BA23/AZ23," - ")</f>
        <v>0.99485640805829401</v>
      </c>
      <c r="BE23" s="220">
        <f>IF(ISNUMBER(BB23/BA23),BB23/BA23, " - ")</f>
        <v>0.55019388194743646</v>
      </c>
      <c r="BF23" s="220">
        <f>IF(ISNUMBER(BC23/BA23),BC23/BA23, " - ")</f>
        <v>0.11158983196897888</v>
      </c>
      <c r="BG23" s="221">
        <f>IF(ISNUMBER((AY23+AZ23)/BA23),(AY23+AZ23)/BA23," - ")</f>
        <v>1.5493321844032744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3682</v>
      </c>
      <c r="J31" s="144">
        <f t="shared" si="36"/>
        <v>3407</v>
      </c>
      <c r="K31" s="144">
        <f t="shared" si="36"/>
        <v>3405</v>
      </c>
      <c r="L31" s="144">
        <f t="shared" si="36"/>
        <v>3686</v>
      </c>
      <c r="M31" s="144">
        <f t="shared" si="36"/>
        <v>601</v>
      </c>
      <c r="N31" s="144">
        <f t="shared" si="36"/>
        <v>2063</v>
      </c>
      <c r="O31" s="144">
        <f t="shared" si="36"/>
        <v>427</v>
      </c>
      <c r="P31" s="144">
        <f t="shared" si="36"/>
        <v>280</v>
      </c>
      <c r="Q31" s="144">
        <f t="shared" si="36"/>
        <v>438</v>
      </c>
      <c r="R31" s="144">
        <f t="shared" si="36"/>
        <v>2855</v>
      </c>
      <c r="S31" s="144">
        <f t="shared" si="36"/>
        <v>3469</v>
      </c>
      <c r="T31" s="144">
        <f t="shared" si="36"/>
        <v>3351</v>
      </c>
      <c r="U31" s="144">
        <f t="shared" si="36"/>
        <v>3267</v>
      </c>
      <c r="V31" s="144">
        <f t="shared" si="36"/>
        <v>3555</v>
      </c>
      <c r="W31" s="144">
        <f t="shared" si="36"/>
        <v>500</v>
      </c>
      <c r="X31" s="144">
        <f t="shared" si="36"/>
        <v>2023</v>
      </c>
      <c r="Y31" s="144">
        <f t="shared" si="36"/>
        <v>77</v>
      </c>
      <c r="Z31" s="144">
        <f t="shared" si="36"/>
        <v>73</v>
      </c>
      <c r="AA31" s="144">
        <f t="shared" si="36"/>
        <v>69</v>
      </c>
      <c r="AB31" s="144">
        <f t="shared" si="36"/>
        <v>81</v>
      </c>
      <c r="AC31" s="144">
        <f t="shared" si="36"/>
        <v>0</v>
      </c>
      <c r="AD31" s="144">
        <f t="shared" si="36"/>
        <v>12</v>
      </c>
      <c r="AE31" s="144">
        <f t="shared" si="36"/>
        <v>9</v>
      </c>
      <c r="AF31" s="144">
        <f t="shared" si="36"/>
        <v>3</v>
      </c>
      <c r="AG31" s="144">
        <f t="shared" si="36"/>
        <v>116</v>
      </c>
      <c r="AH31" s="144">
        <f t="shared" si="36"/>
        <v>71</v>
      </c>
      <c r="AI31" s="144">
        <f t="shared" si="36"/>
        <v>77</v>
      </c>
      <c r="AJ31" s="144">
        <f t="shared" si="36"/>
        <v>110</v>
      </c>
      <c r="AK31" s="144">
        <f t="shared" si="36"/>
        <v>0</v>
      </c>
      <c r="AL31" s="144">
        <f t="shared" si="36"/>
        <v>6</v>
      </c>
      <c r="AM31" s="144">
        <f t="shared" si="36"/>
        <v>6</v>
      </c>
      <c r="AN31" s="224">
        <f t="shared" si="36"/>
        <v>0</v>
      </c>
      <c r="AO31" s="225">
        <v>6</v>
      </c>
      <c r="AP31" s="225">
        <v>5</v>
      </c>
      <c r="AQ31" s="225">
        <v>5</v>
      </c>
      <c r="AR31" s="225">
        <v>5</v>
      </c>
      <c r="AS31" s="166">
        <f t="shared" si="36"/>
        <v>0</v>
      </c>
      <c r="AT31" s="166">
        <f t="shared" si="36"/>
        <v>0</v>
      </c>
      <c r="AU31" s="225"/>
      <c r="AV31" s="226"/>
      <c r="AW31" s="225"/>
      <c r="AX31" s="226"/>
      <c r="AY31" s="143">
        <f>SUBTOTAL(9,AY9:AY30)</f>
        <v>3585</v>
      </c>
      <c r="AZ31" s="144">
        <f>SUBTOTAL(9,AZ9:AZ30)</f>
        <v>3422</v>
      </c>
      <c r="BA31" s="144">
        <f>SUBTOTAL(9,BA9:BA30)</f>
        <v>3344</v>
      </c>
      <c r="BB31" s="144">
        <f>SUBTOTAL(9,BB9:BB30)</f>
        <v>3665</v>
      </c>
      <c r="BC31" s="145">
        <f>SUBTOTAL(9,BC9:BC30)</f>
        <v>683</v>
      </c>
      <c r="BD31" s="227">
        <f>IF(ISNUMBER(BA31/AZ31),BA31/AZ31," - ")</f>
        <v>0.9772063120981882</v>
      </c>
      <c r="BE31" s="224">
        <f>IF(ISNUMBER(BB31/BA31),BB31/BA31, " - ")</f>
        <v>1.0959928229665072</v>
      </c>
      <c r="BF31" s="224">
        <f>IF(ISNUMBER(BC31/BA31),BC31/BA31, " - ")</f>
        <v>0.20424641148325359</v>
      </c>
      <c r="BG31" s="145">
        <f>IF(ISNUMBER((AY31+AZ31)/BA31),(AY31+AZ31)/BA31," - ")</f>
        <v>2.0953947368421053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aE+yoavHRXH4Fmhi3L1eYT1x7rlAdvVFMr9gajSwLvQwPwZZGqhcnY+2+4eBwcXtWyaiVaJXtAociZ1xxVSQ==" saltValue="GQPaVCHo98QBhNnWMHV+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0oVArigCYLNJs06SpoTnnoM4NH08ziYNtaSt9Yb4URSwogRkW4AiTRg+JH7EP0+6iXAZZsLxvmMM9Cm0KU63Q==" saltValue="NKHObw8DoP6iTGqXXpVN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MOTRIL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16</v>
      </c>
      <c r="AC10" s="547">
        <f>IF(ISNUMBER(Datos!Q10),Datos!Q10," - ")</f>
        <v>12</v>
      </c>
      <c r="AD10" s="549"/>
      <c r="AE10" s="563"/>
      <c r="AF10" s="551">
        <f>IF(ISNUMBER(Datos!L10),Datos!L10,"-")</f>
        <v>24</v>
      </c>
      <c r="AG10" s="549"/>
      <c r="AH10" s="549"/>
      <c r="AI10" s="549"/>
      <c r="AJ10" s="549"/>
      <c r="AK10" s="549"/>
      <c r="AL10" s="550"/>
      <c r="AM10" s="766">
        <f>IF(ISNUMBER(Datos!R10),Datos!R10," - ")</f>
        <v>31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-0.11428571428571428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229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81</v>
      </c>
      <c r="AI12" s="549" t="str">
        <f>IF(ISNUMBER(Datos!CD12),Datos!CD12,"-")</f>
        <v>-</v>
      </c>
      <c r="AJ12" s="549" t="str">
        <f>IF(ISNUMBER(Datos!EN12),Datos!EN12," - ")</f>
        <v xml:space="preserve"> - </v>
      </c>
      <c r="AK12" s="549"/>
      <c r="AL12" s="550"/>
      <c r="AM12" s="766">
        <f>IF(ISNUMBER(Datos!R12),Datos!R12," - ")</f>
        <v>2689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298</v>
      </c>
      <c r="BD12" s="693">
        <f>IF(ISNUMBER(Datos!N12),Datos!N12," - ")</f>
        <v>401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1.0657004830917873</v>
      </c>
      <c r="BH12" s="764">
        <f>IF(ISNUMBER(((IF(J_V="SI",Datos!L12/Datos!K12,(Datos!L12+Datos!AB12)/(Datos!K12+Datos!AA12)))*11)/factor_trimestre),((IF(J_V="SI",Datos!L12/Datos!K12,(Datos!L12+Datos!AB12)/(Datos!K12+Datos!AA12)))*11)/factor_trimestre," - ")</f>
        <v>5.7416137805983682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-4.780453257790368E-2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16</v>
      </c>
      <c r="AC14" s="1198">
        <f t="shared" si="2"/>
        <v>376</v>
      </c>
      <c r="AD14" s="1198">
        <f t="shared" si="2"/>
        <v>0</v>
      </c>
      <c r="AE14" s="1198">
        <f t="shared" si="2"/>
        <v>0</v>
      </c>
      <c r="AF14" s="1198">
        <f t="shared" si="2"/>
        <v>24</v>
      </c>
      <c r="AG14" s="1198">
        <f t="shared" si="2"/>
        <v>0</v>
      </c>
      <c r="AH14" s="1198">
        <f t="shared" si="2"/>
        <v>81</v>
      </c>
      <c r="AI14" s="1198">
        <f t="shared" si="2"/>
        <v>0</v>
      </c>
      <c r="AJ14" s="1198">
        <f t="shared" si="2"/>
        <v>0</v>
      </c>
      <c r="AK14" s="1198">
        <f t="shared" si="2"/>
        <v>0</v>
      </c>
      <c r="AL14" s="1198">
        <f t="shared" si="2"/>
        <v>0</v>
      </c>
      <c r="AM14" s="1198">
        <f t="shared" si="2"/>
        <v>2720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303</v>
      </c>
      <c r="BD14" s="1198">
        <f t="shared" si="2"/>
        <v>405</v>
      </c>
      <c r="BE14" s="1198">
        <f t="shared" si="2"/>
        <v>0</v>
      </c>
      <c r="BF14" s="1198">
        <f t="shared" si="2"/>
        <v>0</v>
      </c>
      <c r="BG14" s="1198">
        <f>IF(ISNUMBER(Datos!K14/Datos!J14),Datos!K14/Datos!J14," - ")</f>
        <v>1.0736196319018405</v>
      </c>
      <c r="BH14" s="1202">
        <f>IF(ISNUMBER(((Datos!L14/Datos!K14)*11)/factor_trimestre),((Datos!L14/Datos!K14)*11)/factor_trimestre," - ")</f>
        <v>5.8685714285714292</v>
      </c>
      <c r="BI14" s="1198">
        <f>IF(ISNUMBER('Resol  Asuntos'!D14/NºAsuntos!G14),'Resol  Asuntos'!D14/NºAsuntos!G14," - ")</f>
        <v>0.27077747989276141</v>
      </c>
      <c r="BJ14" s="1198" t="str">
        <f>IF(ISNUMBER(Datos!CI14/Datos!CJ14),Datos!CI14/Datos!CJ14," - ")</f>
        <v xml:space="preserve"> - </v>
      </c>
      <c r="BK14" s="1198">
        <f>SUBTOTAL(9,BK8:BK13)</f>
        <v>0</v>
      </c>
      <c r="BL14" s="1198">
        <f>IF(ISNUMBER((I14-AB14+L14)/(F14)),(I14-AB14+L14)/(F14)," - ")</f>
        <v>-0.66666666666666663</v>
      </c>
      <c r="BM14" s="1203">
        <f>SUBTOTAL(9,BM9:BM13)</f>
        <v>-0.16209024686361795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1486</v>
      </c>
      <c r="G17" s="743">
        <f>IF(ISNUMBER(IF(D_I="SI",Datos!I17,Datos!I17+Datos!AC17)),IF(D_I="SI",Datos!I17,Datos!I17+Datos!AC17)," - ")</f>
        <v>1484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2053</v>
      </c>
      <c r="AC17" s="240">
        <f>IF(ISNUMBER(Datos!Q17),Datos!Q17," - ")</f>
        <v>60</v>
      </c>
      <c r="AD17" s="374"/>
      <c r="AE17" s="562"/>
      <c r="AF17" s="741">
        <f>IF(ISNUMBER(IF(D_I="SI",Datos!L17,Datos!L17+Datos!AF17)),IF(D_I="SI",Datos!L17,Datos!L17+Datos!AF17)," - ")</f>
        <v>1554</v>
      </c>
      <c r="AG17" s="374"/>
      <c r="AH17" s="374"/>
      <c r="AI17" s="374"/>
      <c r="AJ17" s="549"/>
      <c r="AK17" s="374"/>
      <c r="AL17" s="545"/>
      <c r="AM17" s="375">
        <f>IF(ISNUMBER(Datos!R17),Datos!R17," - ")</f>
        <v>129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250</v>
      </c>
      <c r="BD17" s="243">
        <f>IF(ISNUMBER(Datos!N17),Datos!N17," - ")</f>
        <v>1370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0.96793965110796798</v>
      </c>
      <c r="BH17" s="764">
        <f>IF(ISNUMBER(((IF(D_I="SI",Datos!L17/Datos!K17,(Datos!L17+Datos!AF17)/(Datos!K17+Datos!AE17)))*11)/factor_trimestre),((IF(D_I="SI",Datos!L17/Datos!K17,(Datos!L17+Datos!AF17)/(Datos!K17+Datos!AE17)))*11)/factor_trimestre," - ")</f>
        <v>2.2708231855820751</v>
      </c>
      <c r="BI17" s="266">
        <f>IF(ISNUMBER('Resol  Asuntos'!D17/NºAsuntos!G17),'Resol  Asuntos'!D17/NºAsuntos!G17," - ")</f>
        <v>0.12177301509985387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302</v>
      </c>
      <c r="AC18" s="547">
        <f>IF(ISNUMBER(Datos!Q18),Datos!Q18," - ")</f>
        <v>2</v>
      </c>
      <c r="AD18" s="549"/>
      <c r="AE18" s="562"/>
      <c r="AF18" s="551">
        <f>IF(ISNUMBER(Datos!L18),Datos!L18,"-")</f>
        <v>78</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288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0.98051948051948057</v>
      </c>
      <c r="BH18" s="764">
        <f>IF(ISNUMBER(((IF(D_I="SI",Datos!L18/Datos!K18,(Datos!L18+Datos!AF18)/(Datos!K18+Datos!AE18)))*11)/factor_trimestre),((IF(D_I="SI",Datos!L18/Datos!K18,(Datos!L18+Datos!AF18)/(Datos!K18+Datos!AE18)))*11)/factor_trimestre," - ")</f>
        <v>0.77483443708609279</v>
      </c>
      <c r="BI18" s="763">
        <f>IF(ISNUMBER('Resol  Asuntos'!D18/NºAsuntos!G18),'Resol  Asuntos'!D18/NºAsuntos!G18," - ")</f>
        <v>0.15894039735099338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1486</v>
      </c>
      <c r="G23" s="1197">
        <f>SUBTOTAL(9,G16:G22)</f>
        <v>1556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2355</v>
      </c>
      <c r="AC23" s="1198">
        <f t="shared" si="5"/>
        <v>62</v>
      </c>
      <c r="AD23" s="1198">
        <f t="shared" si="5"/>
        <v>0</v>
      </c>
      <c r="AE23" s="1198">
        <f t="shared" si="5"/>
        <v>0</v>
      </c>
      <c r="AF23" s="1198">
        <f t="shared" si="5"/>
        <v>1632</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298</v>
      </c>
      <c r="BD23" s="1198">
        <f t="shared" si="5"/>
        <v>1658</v>
      </c>
      <c r="BE23" s="1198">
        <f t="shared" si="5"/>
        <v>0</v>
      </c>
      <c r="BF23" s="1198">
        <f t="shared" si="5"/>
        <v>0</v>
      </c>
      <c r="BG23" s="1198">
        <f>IF(ISNUMBER(Datos!K23/Datos!J23),Datos!K23/Datos!J23," - ")</f>
        <v>0.96953478797859205</v>
      </c>
      <c r="BH23" s="1202">
        <f>IF(ISNUMBER(((Datos!L23/Datos!K23)*11)/factor_trimestre),((Datos!L23/Datos!K23)*11)/factor_trimestre," - ")</f>
        <v>2.0789808917197452</v>
      </c>
      <c r="BI23" s="1198">
        <f>SUBTOTAL(9,BI16:BI22)</f>
        <v>0.28071341245084724</v>
      </c>
      <c r="BJ23" s="1198">
        <f>SUBTOTAL(9,BJ16:BJ22)</f>
        <v>0</v>
      </c>
      <c r="BK23" s="1198">
        <f>SUBTOTAL(9,BK16:BK22)</f>
        <v>0</v>
      </c>
      <c r="BL23" s="1198">
        <f>IF(ISNUMBER((I23-AB23+L23)/(F23)),(I23-AB23+L23)/(F23)," - ")</f>
        <v>-1.5847913862718708</v>
      </c>
      <c r="BM23" s="1205">
        <f>IF(ISNUMBER((Datos!P23-Datos!Q23)/(Datos!R23-Datos!P23+Datos!Q23)),(Datos!P23-Datos!Q23)/(Datos!R23-Datos!P23+Datos!Q23)," - ")</f>
        <v>-0.12337662337662338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1510</v>
      </c>
      <c r="G31" s="1117">
        <f t="shared" si="18"/>
        <v>1580</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280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2371</v>
      </c>
      <c r="AC31" s="1118">
        <f t="shared" si="19"/>
        <v>438</v>
      </c>
      <c r="AD31" s="1118">
        <f t="shared" si="19"/>
        <v>0</v>
      </c>
      <c r="AE31" s="1118">
        <f t="shared" si="19"/>
        <v>0</v>
      </c>
      <c r="AF31" s="1125">
        <f t="shared" si="19"/>
        <v>1656</v>
      </c>
      <c r="AG31" s="1125">
        <f t="shared" si="19"/>
        <v>0</v>
      </c>
      <c r="AH31" s="1125">
        <f t="shared" si="19"/>
        <v>81</v>
      </c>
      <c r="AI31" s="1125">
        <f t="shared" si="19"/>
        <v>0</v>
      </c>
      <c r="AJ31" s="1118">
        <f t="shared" si="19"/>
        <v>0</v>
      </c>
      <c r="AK31" s="1125">
        <f t="shared" si="19"/>
        <v>0</v>
      </c>
      <c r="AL31" s="1125">
        <f t="shared" si="19"/>
        <v>0</v>
      </c>
      <c r="AM31" s="1125">
        <f t="shared" si="19"/>
        <v>2855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601</v>
      </c>
      <c r="BD31" s="1117">
        <f t="shared" si="19"/>
        <v>2063</v>
      </c>
      <c r="BE31" s="1117">
        <f t="shared" si="19"/>
        <v>0</v>
      </c>
      <c r="BF31" s="1127">
        <f t="shared" si="19"/>
        <v>0</v>
      </c>
      <c r="BG31" s="1223">
        <f>IF(ISNUMBER(Datos!K31/Datos!J31),Datos!K31/Datos!J31," - ")</f>
        <v>0.99941297329028467</v>
      </c>
      <c r="BH31" s="1223">
        <f>IF(ISNUMBER(((Datos!L31/Datos!K31)*11)/factor_trimestre),((Datos!L31/Datos!K31)*11)/factor_trimestre," - ")</f>
        <v>3.2475770925110132</v>
      </c>
      <c r="BI31" s="1103">
        <f>IF(ISNUMBER(Datos!J31/Datos!I31),Datos!J31/Datos!I31," - ")</f>
        <v>0.92531233025529602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-1.5701986754966888</v>
      </c>
      <c r="BM31" s="1188">
        <f>IF(ISNUMBER((Datos!P31-Datos!Q31+R31)/(Datos!R31-Datos!P31+Datos!Q31-R31)),(Datos!P31-Datos!Q31+R31)/(Datos!R31-Datos!P31+Datos!Q31-R31)," - ")</f>
        <v>-5.2439429140391638E-2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451.42857142857144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761.24599615805312</v>
      </c>
      <c r="G33" s="674">
        <f>IF(ISNUMBER(STDEV(G8:G30)),STDEV(G8:G30),"-")</f>
        <v>730.66336460845798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1051.9968087947252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148.15315434663259</v>
      </c>
      <c r="BD33" s="673"/>
      <c r="BE33" s="673">
        <f>IF(ISNUMBER(STDEV(BE8:BE30)),STDEV(BE8:BE30),"-")</f>
        <v>0</v>
      </c>
      <c r="BF33" s="678">
        <f>IF(ISNUMBER(STDEV(BF8:BF30)),STDEV(BF8:BF30),"-")</f>
        <v>0</v>
      </c>
      <c r="BG33" s="1052">
        <f>IF(ISNUMBER(STDEV(BG8:BG30)),STDEV(BG8:BG30),"-")</f>
        <v>4.8009178997341292E-2</v>
      </c>
      <c r="BH33" s="1058">
        <f>IF(ISNUMBER(STDEV(BH8:BH30)),STDEV(BH8:BH30),"-")</f>
        <v>2.1252045022811927</v>
      </c>
      <c r="BI33" s="273">
        <f>IF(ISNUMBER(STDEV(BI8:BI30)),STDEV(BI8:BI30),"-")</f>
        <v>7.9729081757890716E-2</v>
      </c>
      <c r="BJ33" s="244" t="str">
        <f>IF(ISNUMBER(BL33/BM33),BL33/BM33," - ")</f>
        <v xml:space="preserve"> - </v>
      </c>
      <c r="BK33" s="709"/>
      <c r="BL33" s="681">
        <f>IF(ISNUMBER(STDEV(BL8:BL30)),STDEV(BL8:BL30),"-")</f>
        <v>0.64921221520783701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G43QyD6EhHwq+GTZp7v5CUXAMZWG3MnzUIVwEp1eqPYO/HatbAoKA0ESvOj/WHwYxLFejie0+RMPu7NfHzclQ==" saltValue="w8swR0/SdbHLtMXAyXEd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MOTRIL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16</v>
      </c>
      <c r="Z10" s="805">
        <f>IF(ISNUMBER(Datos!Q10),Datos!Q10," - ")</f>
        <v>12</v>
      </c>
      <c r="AA10" s="551">
        <f>IF(ISNUMBER(Datos!L10),Datos!L10,"-")</f>
        <v>24</v>
      </c>
      <c r="AB10" s="549"/>
      <c r="AC10" s="549"/>
      <c r="AD10" s="563"/>
      <c r="AE10" s="563">
        <f>IF(ISNUMBER(Datos!R10),Datos!R10," - ")</f>
        <v>31</v>
      </c>
      <c r="AF10" s="693" t="str">
        <f>IF(ISNUMBER(Datos!BV10),Datos!BV10," - ")</f>
        <v xml:space="preserve"> - </v>
      </c>
      <c r="AG10" s="552" t="str">
        <f>IF(ISNUMBER(Datos!DV10),Datos!DV10," - ")</f>
        <v xml:space="preserve"> - </v>
      </c>
      <c r="AH10" s="553"/>
      <c r="AI10" s="554"/>
      <c r="AJ10" s="552">
        <f>IF(ISNUMBER(Datos!M10),Datos!M10," - ")</f>
        <v>5</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-0.11428571428571428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364</v>
      </c>
      <c r="AA12" s="551" t="str">
        <f>IF(ISNUMBER(IF(J_V="SI",Datos!L12,Datos!L12+Datos!AB12)-IF(Monitorios="SI",Datos!CD12,0)),
                          IF(J_V="SI",Datos!L12,Datos!L12+Datos!AB12)-IF(Monitorios="SI",Datos!CD12,0),
                          " - ")</f>
        <v xml:space="preserve"> - </v>
      </c>
      <c r="AB12" s="549"/>
      <c r="AC12" s="549"/>
      <c r="AD12" s="563"/>
      <c r="AE12" s="563">
        <f>IF(ISNUMBER(Datos!R12),Datos!R12," - ")</f>
        <v>2689</v>
      </c>
      <c r="AF12" s="693" t="str">
        <f>IF(ISNUMBER(Datos!BV12),Datos!BV12," - ")</f>
        <v xml:space="preserve"> - </v>
      </c>
      <c r="AG12" s="552" t="str">
        <f>IF(ISNUMBER(Datos!DV12),Datos!DV12," - ")</f>
        <v xml:space="preserve"> - </v>
      </c>
      <c r="AH12" s="553"/>
      <c r="AI12" s="554"/>
      <c r="AJ12" s="552">
        <f>IF(ISNUMBER(Datos!M12),Datos!M12," - ")</f>
        <v>298</v>
      </c>
      <c r="AK12" s="693">
        <f>IF(ISNUMBER(Datos!N12),Datos!N12," - ")</f>
        <v>401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5.7416137805983682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-4.780453257790368E-2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16</v>
      </c>
      <c r="Z14" s="1210">
        <f t="shared" si="3"/>
        <v>376</v>
      </c>
      <c r="AA14" s="1199">
        <f t="shared" si="3"/>
        <v>24</v>
      </c>
      <c r="AB14" s="1199">
        <f t="shared" si="3"/>
        <v>0</v>
      </c>
      <c r="AC14" s="1199">
        <f t="shared" si="3"/>
        <v>0</v>
      </c>
      <c r="AD14" s="1199">
        <f t="shared" si="3"/>
        <v>0</v>
      </c>
      <c r="AE14" s="1199">
        <f t="shared" si="3"/>
        <v>2720</v>
      </c>
      <c r="AF14" s="1211">
        <f t="shared" si="3"/>
        <v>0</v>
      </c>
      <c r="AG14" s="1211">
        <f t="shared" si="3"/>
        <v>0</v>
      </c>
      <c r="AH14" s="1211">
        <f t="shared" si="3"/>
        <v>0</v>
      </c>
      <c r="AI14" s="1211">
        <f t="shared" si="3"/>
        <v>0</v>
      </c>
      <c r="AJ14" s="1211">
        <f t="shared" si="3"/>
        <v>303</v>
      </c>
      <c r="AK14" s="1211">
        <f t="shared" si="3"/>
        <v>405</v>
      </c>
      <c r="AL14" s="1211">
        <f t="shared" si="3"/>
        <v>0</v>
      </c>
      <c r="AM14" s="1211">
        <f t="shared" si="3"/>
        <v>0</v>
      </c>
      <c r="AN14" s="1211">
        <f t="shared" si="3"/>
        <v>0</v>
      </c>
      <c r="AO14" s="1203">
        <f>IF(ISNUMBER(((NºAsuntos!I14/NºAsuntos!G14)*11)/factor_trimestre),((NºAsuntos!I14/NºAsuntos!G14)*11)/factor_trimestre," - ")</f>
        <v>5.7238605898123325</v>
      </c>
      <c r="AP14" s="1213" t="str">
        <f>IF(ISNUMBER(Datos!CI14/Datos!CJ14),Datos!CI14/Datos!CJ14," - ")</f>
        <v xml:space="preserve"> - </v>
      </c>
      <c r="AQ14" s="1236">
        <f t="shared" ref="AQ14:AV14" si="4">SUBTOTAL(9,AQ9:AQ13)</f>
        <v>0</v>
      </c>
      <c r="AR14" s="1236">
        <f t="shared" si="4"/>
        <v>-0.16209024686361795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1486</v>
      </c>
      <c r="G17" s="552">
        <f>IF(ISNUMBER(IF(D_I="SI",Datos!I17,Datos!I17+Datos!AC17)),IF(D_I="SI",Datos!I17,Datos!I17+Datos!AC17)," - ")</f>
        <v>1484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2053</v>
      </c>
      <c r="Z17" s="805">
        <f>IF(ISNUMBER(Datos!Q17),Datos!Q17," - ")</f>
        <v>60</v>
      </c>
      <c r="AA17" s="551">
        <f>IF(ISNUMBER(IF(D_I="SI",Datos!L17,Datos!L17+Datos!AF17)),IF(D_I="SI",Datos!L17,Datos!L17+Datos!AF17)," - ")</f>
        <v>1554</v>
      </c>
      <c r="AB17" s="549"/>
      <c r="AC17" s="549"/>
      <c r="AD17" s="563"/>
      <c r="AE17" s="563">
        <f>IF(ISNUMBER(Datos!R17),Datos!R17," - ")</f>
        <v>129</v>
      </c>
      <c r="AF17" s="693" t="str">
        <f>IF(ISNUMBER(Datos!BV17),Datos!BV17," - ")</f>
        <v xml:space="preserve"> - </v>
      </c>
      <c r="AG17" s="552"/>
      <c r="AH17" s="553"/>
      <c r="AI17" s="554"/>
      <c r="AJ17" s="552">
        <f>IF(ISNUMBER(Datos!M17),Datos!M17," - ")</f>
        <v>250</v>
      </c>
      <c r="AK17" s="693">
        <f>IF(ISNUMBER(Datos!N17),Datos!N17," - ")</f>
        <v>1370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2.2708231855820751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302</v>
      </c>
      <c r="Z18" s="805">
        <f>IF(ISNUMBER(Datos!Q18),Datos!Q18," - ")</f>
        <v>2</v>
      </c>
      <c r="AA18" s="551">
        <f>IF(ISNUMBER(Datos!L18),Datos!L18,"-")</f>
        <v>78</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48</v>
      </c>
      <c r="AK18" s="693">
        <f>IF(ISNUMBER(Datos!N18),Datos!N18," - ")</f>
        <v>288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0.77483443708609279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1486</v>
      </c>
      <c r="G23" s="1197">
        <f>SUBTOTAL(9,G16:G22)</f>
        <v>1556</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2355</v>
      </c>
      <c r="Z23" s="1240">
        <f t="shared" si="6"/>
        <v>62</v>
      </c>
      <c r="AA23" s="1240">
        <f t="shared" si="6"/>
        <v>1632</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298</v>
      </c>
      <c r="AK23" s="1240">
        <f t="shared" si="6"/>
        <v>1658</v>
      </c>
      <c r="AL23" s="1240">
        <f t="shared" si="6"/>
        <v>0</v>
      </c>
      <c r="AM23" s="1240">
        <f t="shared" si="6"/>
        <v>0</v>
      </c>
      <c r="AN23" s="1240">
        <f t="shared" si="6"/>
        <v>0</v>
      </c>
      <c r="AO23" s="1242">
        <f>IF(ISNUMBER(((NºAsuntos!I23/NºAsuntos!G23)*11)/factor_trimestre),((NºAsuntos!I23/NºAsuntos!G23)*11)/factor_trimestre," - ")</f>
        <v>2.0789808917197452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1510</v>
      </c>
      <c r="G31" s="1117">
        <f t="shared" si="12"/>
        <v>1580</v>
      </c>
      <c r="H31" s="1118">
        <f t="shared" si="12"/>
        <v>0</v>
      </c>
      <c r="I31" s="1117">
        <f t="shared" si="12"/>
        <v>0</v>
      </c>
      <c r="J31" s="1119">
        <f t="shared" si="12"/>
        <v>0</v>
      </c>
      <c r="K31" s="1117">
        <f t="shared" si="12"/>
        <v>0</v>
      </c>
      <c r="L31" s="1120">
        <f t="shared" si="12"/>
        <v>0</v>
      </c>
      <c r="M31" s="1117">
        <f t="shared" si="12"/>
        <v>0</v>
      </c>
      <c r="N31" s="1118">
        <f t="shared" si="12"/>
        <v>280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2371</v>
      </c>
      <c r="Z31" s="1124">
        <f t="shared" si="13"/>
        <v>438</v>
      </c>
      <c r="AA31" s="1125">
        <f t="shared" si="13"/>
        <v>1656</v>
      </c>
      <c r="AB31" s="1125">
        <f t="shared" si="13"/>
        <v>0</v>
      </c>
      <c r="AC31" s="1125">
        <f t="shared" si="13"/>
        <v>0</v>
      </c>
      <c r="AD31" s="1126">
        <f t="shared" si="13"/>
        <v>0</v>
      </c>
      <c r="AE31" s="1126">
        <f t="shared" si="13"/>
        <v>2855</v>
      </c>
      <c r="AF31" s="1127">
        <f t="shared" si="13"/>
        <v>0</v>
      </c>
      <c r="AG31" s="1128">
        <f t="shared" si="13"/>
        <v>0</v>
      </c>
      <c r="AH31" s="1129">
        <f t="shared" si="13"/>
        <v>0</v>
      </c>
      <c r="AI31" s="1127">
        <f t="shared" si="13"/>
        <v>0</v>
      </c>
      <c r="AJ31" s="1117">
        <f t="shared" si="13"/>
        <v>601</v>
      </c>
      <c r="AK31" s="1117">
        <f t="shared" si="13"/>
        <v>2063</v>
      </c>
      <c r="AL31" s="1117">
        <f t="shared" si="13"/>
        <v>0</v>
      </c>
      <c r="AM31" s="1130">
        <f t="shared" si="13"/>
        <v>0</v>
      </c>
      <c r="AN31" s="1120">
        <f>IF(ISNUMBER(Datos!K31/Datos!J31),Datos!K31/Datos!J31," - ")</f>
        <v>0.99941297329028467</v>
      </c>
      <c r="AO31" s="1120">
        <f>IF(ISNUMBER(FIND("06",Criterios!A8,1)),(IF(ISNUMBER(((Datos!R31/Datos!Q31)*11)/factor_trimestre),((Datos!R31/Datos!Q31)*11)/factor_trimestre," - ")),(IF(ISNUMBER(((Datos!L31/Datos!K31)*11)/factor_trimestre),((Datos!L31/Datos!K31)*11)/factor_trimestre," - ")))</f>
        <v>3.2475770925110132</v>
      </c>
      <c r="AP31" s="1131" t="str">
        <f>IF(ISNUMBER(Datos!CI31/Datos!CJ31),Datos!CI31/Datos!CJ31," - ")</f>
        <v xml:space="preserve"> - </v>
      </c>
      <c r="AQ31" s="1131">
        <f>IF(OR(ISNUMBER(FIND("01",Criterios!A8,1)),ISNUMBER(FIND("02",Criterios!A8,1)),ISNUMBER(FIND("03",Criterios!A8,1)),ISNUMBER(FIND("04",Criterios!A8,1))),(J31-Y31+K31)/(F31-K31),(I31-Y31+K31)/(F31-K31))</f>
        <v>-1.5701986754966888</v>
      </c>
      <c r="AR31" s="1131">
        <f>IF(ISNUMBER((Datos!P31-Datos!Q31+O31)/(Datos!R31-Datos!P31+Datos!Q31-O31)),(Datos!P31-Datos!Q31+O31)/(Datos!R31-Datos!P31+Datos!Q31-O31)," - ")</f>
        <v>-5.2439429140391638E-2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451.42857142857144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761.24599615805312</v>
      </c>
      <c r="G33" s="674">
        <f>IF(ISNUMBER(STDEV(G8:G30)),STDEV(G8:G30),"-")</f>
        <v>730.66336460845798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148.15315434663259</v>
      </c>
      <c r="AK33" s="276"/>
      <c r="AL33" s="276">
        <f>IF(ISNUMBER(STDEV(AL8:AL30)),STDEV(AL8:AL30),"-")</f>
        <v>0</v>
      </c>
      <c r="AM33" s="278">
        <f>IF(ISNUMBER(STDEV(AM8:AM30)),STDEV(AM8:AM30),"-")</f>
        <v>0</v>
      </c>
      <c r="AN33" s="660">
        <f>IF(ISNUMBER(STDEV(AN8:AN30)),STDEV(AN8:AN30),"-")</f>
        <v>0</v>
      </c>
      <c r="AO33" s="661">
        <f>IF(ISNUMBER(STDEV(AO8:AO30)),STDEV(AO8:AO30),"-")</f>
        <v>2.0940741709936286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5mGTpxtAY/rSgnnsGK5Sc4wBVo2e73UF7dZk9avIqLdsn1u9G6dyHYouc8K7Ue/AOGXr5fNNbkcJgEQYoCNQA==" saltValue="Sj/HkvjCHkrx6I6r0Q0z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C6tZp/dlBZ1RAgT2DPctzHZKTxZzTAu4Zq9+vcH3QDhjBHzlg+iQzwQ3sqMV6yZA8ngjUbpneVG/zt491fn/Q==" saltValue="8SHJ2iAH0s7fLDdpC8yY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Ptw46XOTDk2MvnXt21y56Hj9wZoUnCex8arSr+y5ruYWUTfmK+Az3aWgb+sMGOffQTuHIhpqo8JoTDsb/cTyg==" saltValue="Ppzf+ryzpQNIPoWmpxRZU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MOTRIL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0.27077747989276141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0.19146859222477561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bGeusFHppeue3ZMji5kQ30665NN81mo9ousjwzSyJVCMh2n9jz89cjMaar+oJIQvPtJIDMaj9/g04AWjWwGRA==" saltValue="6BCP6vm35mOBIXluCTPv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jn8TdHOwefICSsQ6Cg7x/LeYqKVhWFMGbDiBhHT4CYgFXHnFM2KN9UzjK2pBBfkaKYkB+0WXbxRSZw4U2cI6A==" saltValue="bLnHsx5ESU8XGp44r1JF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MOTRIL</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16</v>
      </c>
      <c r="F10" s="452">
        <f>IF(ISNUMBER(E10/B10),E10/B10," - ")</f>
        <v>16</v>
      </c>
      <c r="G10" s="451">
        <f>IF(ISNUMBER(Datos!K10),Datos!K10," - ")</f>
        <v>16</v>
      </c>
      <c r="H10" s="452">
        <f>IF(ISNUMBER(G10/B10),G10/B10," - ")</f>
        <v>16</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2179</v>
      </c>
      <c r="D12" s="452">
        <f>IF(ISNUMBER(C12/Datos!BH12),C12/Datos!BH12," - ")</f>
        <v>435.8</v>
      </c>
      <c r="E12" s="451">
        <f>IF(ISNUMBER(IF(J_V="SI",Datos!J12,Datos!J12+Datos!Z12)),IF(J_V="SI",Datos!J12,Datos!J12+Datos!Z12)," - ")</f>
        <v>1035</v>
      </c>
      <c r="F12" s="452">
        <f>IF(ISNUMBER(E12/B12),E12/B12," - ")</f>
        <v>207</v>
      </c>
      <c r="G12" s="451">
        <f>IF(ISNUMBER(IF(J_V="SI",Datos!K12,Datos!K12+Datos!AA12)),IF(J_V="SI",Datos!K12,Datos!K12+Datos!AA12)," - ")</f>
        <v>1103</v>
      </c>
      <c r="H12" s="452">
        <f>IF(ISNUMBER(G12/B12),G12/B12," - ")</f>
        <v>220.6</v>
      </c>
      <c r="I12" s="451">
        <f>IF(ISNUMBER(IF(J_V="SI",Datos!L12,Datos!L12+Datos!AB12)),IF(J_V="SI",Datos!L12,Datos!L12+Datos!AB12)," - ")</f>
        <v>2111</v>
      </c>
      <c r="J12" s="452">
        <f>IF(ISNUMBER(I12/B12),I12/B12," - ")</f>
        <v>422.2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2203</v>
      </c>
      <c r="D14" s="1147" t="str">
        <f>IF(ISNUMBER(C14/Datos!BI14),C14/Datos!BI14," - ")</f>
        <v xml:space="preserve"> - </v>
      </c>
      <c r="E14" s="1146">
        <f>SUBTOTAL(9,E8:E13)</f>
        <v>1051</v>
      </c>
      <c r="F14" s="1147">
        <f>IF(ISNUMBER(E14/B14),E14/B14," - ")</f>
        <v>210.2</v>
      </c>
      <c r="G14" s="1146">
        <f>SUBTOTAL(9,G8:G13)</f>
        <v>1119</v>
      </c>
      <c r="H14" s="1147">
        <f>IF(ISNUMBER(G14/B14),G14/B14," - ")</f>
        <v>223.8</v>
      </c>
      <c r="I14" s="1146">
        <f>SUBTOTAL(9,I8:I13)</f>
        <v>2135</v>
      </c>
      <c r="J14" s="1147">
        <f>IF(ISNUMBER(I14/B14),I14/B14," - ")</f>
        <v>427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1484</v>
      </c>
      <c r="D17" s="452">
        <f>IF(ISNUMBER(C17/Datos!BH17),C17/Datos!BH17," - ")</f>
        <v>296.8</v>
      </c>
      <c r="E17" s="451">
        <f>IF(ISNUMBER(IF(D_I="SI",Datos!J17,Datos!J17+Datos!AD17)),IF(D_I="SI",Datos!J17,Datos!J17+Datos!AD17)," - ")</f>
        <v>2121</v>
      </c>
      <c r="F17" s="452">
        <f>IF(ISNUMBER(E17/B17),E17/B17," - ")</f>
        <v>424.2</v>
      </c>
      <c r="G17" s="451">
        <f>IF(ISNUMBER(IF(D_I="SI",Datos!K17,Datos!K17+Datos!AE17)),IF(D_I="SI",Datos!K17,Datos!K17+Datos!AE17)," - ")</f>
        <v>2053</v>
      </c>
      <c r="H17" s="452">
        <f>IF(ISNUMBER(G17/B17),G17/B17," - ")</f>
        <v>410.6</v>
      </c>
      <c r="I17" s="451">
        <f>IF(ISNUMBER(IF(D_I="SI",Datos!L17,Datos!L17+Datos!AF17)),IF(D_I="SI",Datos!L17,Datos!L17+Datos!AF17)," - ")</f>
        <v>1554</v>
      </c>
      <c r="J17" s="452">
        <f>IF(ISNUMBER(I17/B17),I17/B17," - ")</f>
        <v>310.8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308</v>
      </c>
      <c r="F18" s="452">
        <f>IF(ISNUMBER(E18/B18),E18/B18," - ")</f>
        <v>308</v>
      </c>
      <c r="G18" s="451">
        <f>IF(ISNUMBER(IF(D_I="SI",Datos!K18,Datos!K18+Datos!AE18)),IF(D_I="SI",Datos!K18,Datos!K18+Datos!AE18)," - ")</f>
        <v>302</v>
      </c>
      <c r="H18" s="452">
        <f>IF(ISNUMBER(G18/B18),G18/B18," - ")</f>
        <v>302</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1556</v>
      </c>
      <c r="D23" s="1147" t="str">
        <f>IF(ISNUMBER(C23/Datos!BI23),C23/Datos!BI23," - ")</f>
        <v xml:space="preserve"> - </v>
      </c>
      <c r="E23" s="1146">
        <f>SUBTOTAL(9,E15:E22)</f>
        <v>2429</v>
      </c>
      <c r="F23" s="1147">
        <f>IF(ISNUMBER(E23/B23),E23/B23," - ")</f>
        <v>485.8</v>
      </c>
      <c r="G23" s="1146">
        <f>SUBTOTAL(9,G15:G22)</f>
        <v>2355</v>
      </c>
      <c r="H23" s="1147">
        <f>IF(ISNUMBER(G23/B23),G23/B23," - ")</f>
        <v>471</v>
      </c>
      <c r="I23" s="1146">
        <f>SUBTOTAL(9,I15:I22)</f>
        <v>1632</v>
      </c>
      <c r="J23" s="1147">
        <f>IF(ISNUMBER(I23/B23),I23/B23," - ")</f>
        <v>326.39999999999998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3759</v>
      </c>
      <c r="D31" s="1085" t="str">
        <f>IF(ISNUMBER(C31/Datos!BI31),C31/Datos!BI31," - ")</f>
        <v xml:space="preserve"> - </v>
      </c>
      <c r="E31" s="1084">
        <f>SUBTOTAL(9,E9:E30)</f>
        <v>3480</v>
      </c>
      <c r="F31" s="1085">
        <f>IF(ISNUMBER(E31/B31),E31/B31," - ")</f>
        <v>696</v>
      </c>
      <c r="G31" s="1084">
        <f>SUBTOTAL(9,G9:G30)</f>
        <v>3474</v>
      </c>
      <c r="H31" s="1085">
        <f>IF(ISNUMBER(G31/B31),G31/B31," - ")</f>
        <v>694.8</v>
      </c>
      <c r="I31" s="1084">
        <f>SUBTOTAL(9,I9:I30)</f>
        <v>3767</v>
      </c>
      <c r="J31" s="1085">
        <f>IF(ISNUMBER(I31/B31),I31/B31," - ")</f>
        <v>753.4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I8HQVqNvsK7j0mn2K4+hIcUDKcmuBiCyYw4h9HnT7wxvNHGscScsjm5wb6VsLGAUwakhxFKj57aU/9lYKqR3A==" saltValue="WxG4cB22pRfuyIRv+MdyW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MOTRIL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16</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298</v>
      </c>
      <c r="AM12" s="914">
        <f>IF(ISNUMBER(Datos!N12+DatosP!N17),Datos!N12+DatosP!N17," - ")</f>
        <v>401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5.7416137805983682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-4.780453257790368E-2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16</v>
      </c>
      <c r="AC14" s="1257">
        <f t="shared" si="1"/>
        <v>0</v>
      </c>
      <c r="AD14" s="1257">
        <f t="shared" si="1"/>
        <v>364</v>
      </c>
      <c r="AE14" s="1257">
        <f t="shared" si="1"/>
        <v>0</v>
      </c>
      <c r="AF14" s="1257">
        <f t="shared" si="1"/>
        <v>24</v>
      </c>
      <c r="AG14" s="1257">
        <f t="shared" si="1"/>
        <v>0</v>
      </c>
      <c r="AH14" s="1257">
        <f t="shared" si="1"/>
        <v>2689</v>
      </c>
      <c r="AI14" s="1257">
        <f t="shared" si="1"/>
        <v>0</v>
      </c>
      <c r="AJ14" s="1257">
        <f t="shared" si="1"/>
        <v>0</v>
      </c>
      <c r="AK14" s="1257">
        <f t="shared" si="1"/>
        <v>0</v>
      </c>
      <c r="AL14" s="1257">
        <f t="shared" si="1"/>
        <v>303</v>
      </c>
      <c r="AM14" s="1257">
        <f t="shared" si="1"/>
        <v>405</v>
      </c>
      <c r="AN14" s="1257">
        <f t="shared" si="1"/>
        <v>0</v>
      </c>
      <c r="AO14" s="1257">
        <f t="shared" si="1"/>
        <v>0</v>
      </c>
      <c r="AP14" s="1262">
        <f>IF(ISNUMBER(((Datos!L14/Datos!K14)*11)/factor_trimestre),((Datos!L14/Datos!K14)*11)/factor_trimestre," - ")</f>
        <v>5.8685714285714292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-4.780453257790368E-2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2.0789808917197452</v>
      </c>
      <c r="AQ23" s="1262">
        <f>IF(ISNUMBER(((Datos!M23/Datos!L23)*11)/factor_trimestre),((Datos!M23/Datos!L23)*11)/factor_trimestre," - ")</f>
        <v>0.54779411764705876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-0.12337662337662338</v>
      </c>
      <c r="AW23" s="1265">
        <f>IF(ISNUMBER((Datos!Q23-Datos!R23)/(Datos!S23-Datos!Q23+Datos!R23)),(Datos!Q23-Datos!R23)/(Datos!S23-Datos!Q23+Datos!R23)," - ")</f>
        <v>-5.4640718562874252E-2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16</v>
      </c>
      <c r="AC31" s="1284">
        <f t="shared" si="9"/>
        <v>0</v>
      </c>
      <c r="AD31" s="1284">
        <f t="shared" si="9"/>
        <v>364</v>
      </c>
      <c r="AE31" s="1284">
        <f t="shared" si="9"/>
        <v>0</v>
      </c>
      <c r="AF31" s="1285">
        <f t="shared" si="9"/>
        <v>24</v>
      </c>
      <c r="AG31" s="1285">
        <f t="shared" si="9"/>
        <v>0</v>
      </c>
      <c r="AH31" s="1285">
        <f t="shared" si="9"/>
        <v>2689</v>
      </c>
      <c r="AI31" s="1285">
        <f t="shared" si="9"/>
        <v>0</v>
      </c>
      <c r="AJ31" s="1286">
        <f t="shared" si="9"/>
        <v>0</v>
      </c>
      <c r="AK31" s="1286">
        <f t="shared" si="9"/>
        <v>0</v>
      </c>
      <c r="AL31" s="1278">
        <f t="shared" si="9"/>
        <v>303</v>
      </c>
      <c r="AM31" s="1278">
        <f t="shared" si="9"/>
        <v>405</v>
      </c>
      <c r="AN31" s="1278">
        <f t="shared" si="9"/>
        <v>0</v>
      </c>
      <c r="AO31" s="1278">
        <f t="shared" si="9"/>
        <v>0</v>
      </c>
      <c r="AP31" s="1278">
        <f>IF(ISNUMBER(((Datos!L31/Datos!K31)*11)/factor_trimestre),((Datos!L31/Datos!K31)*11)/factor_trimestre," - ")</f>
        <v>3.2475770925110132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-5.2439429140391638E-2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8.7635609200826572</v>
      </c>
      <c r="AC33" s="1008">
        <f>IF(ISNUMBER(STDEV(AC8:AC30)),STDEV(AC8:AC30),"-")</f>
        <v>0</v>
      </c>
      <c r="AD33" s="1011"/>
      <c r="AE33" s="1011"/>
      <c r="AF33" s="1011"/>
      <c r="AG33" s="1011"/>
      <c r="AH33" s="1011"/>
      <c r="AI33" s="1011"/>
      <c r="AJ33" s="1012">
        <f>IF(ISNUMBER(STDEV(AJ8:AJ30)),STDEV(AJ8:AJ30),"-")</f>
        <v>0</v>
      </c>
      <c r="AK33" s="1014"/>
      <c r="AL33" s="1006">
        <f>IF(ISNUMBER(STDEV(AL8:AL30)),STDEV(AL8:AL30),"-")</f>
        <v>154.55225653480443</v>
      </c>
      <c r="AM33" s="1006"/>
      <c r="AN33" s="1006">
        <f>IF(ISNUMBER(STDEV(AN8:AN30)),STDEV(AN8:AN30),"-")</f>
        <v>0</v>
      </c>
      <c r="AO33" s="1012">
        <f>IF(ISNUMBER(STDEV(AO8:AO30)),STDEV(AO8:AO30),"-")</f>
        <v>0</v>
      </c>
      <c r="AP33" s="1065">
        <f>IF(ISNUMBER(STDEV(AP8:AP30)),STDEV(AP8:AP30),"-")</f>
        <v>1.7575532333806676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35l+sD5dshKpykLhhzQHM23ETA2iVrMlCph8Q99OcLiRqMMO0jgByZk09pUSY1HMSE7ASNI7YWge8u9lQPBVQ==" saltValue="ingOT6Xw7WBTLRDAbTZy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MOTRIL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HOIzgv1gbXRstWBENZ3hvtejAjWJ6to3e6oFTrWf55a780XLjw5B9oQ4y1ZS2MIiko4KxF6WIhS3IUH745Q7w==" saltValue="E2LddSJ7SdobkA/m6dlu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MOTRIL</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298</v>
      </c>
      <c r="E12" s="452">
        <f t="shared" si="0"/>
        <v>59.6</v>
      </c>
      <c r="F12" s="451">
        <f>IF(ISNUMBER(Datos!N12),Datos!N12," - ")</f>
        <v>401</v>
      </c>
      <c r="G12" s="452">
        <f t="shared" si="1"/>
        <v>80.2</v>
      </c>
      <c r="H12" s="451">
        <f>IF(ISNUMBER(Datos!O12),Datos!O12," - ")</f>
        <v>413</v>
      </c>
      <c r="I12" s="452">
        <f t="shared" si="2"/>
        <v>82.6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303</v>
      </c>
      <c r="E14" s="1147">
        <f t="shared" si="0"/>
        <v>50.5</v>
      </c>
      <c r="F14" s="1146">
        <f>SUBTOTAL(9,F9:F13)</f>
        <v>405</v>
      </c>
      <c r="G14" s="1147">
        <f t="shared" si="1"/>
        <v>67.5</v>
      </c>
      <c r="H14" s="1146">
        <f>SUBTOTAL(9,H9:H13)</f>
        <v>413</v>
      </c>
      <c r="I14" s="1147">
        <f>IF(ISNUMBER(H14/B14),H14/B14," - ")</f>
        <v>68.833333333333329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250</v>
      </c>
      <c r="E17" s="452">
        <f t="shared" si="3"/>
        <v>50</v>
      </c>
      <c r="F17" s="451">
        <f>IF(ISNUMBER(Datos!N17),Datos!N17," - ")</f>
        <v>1370</v>
      </c>
      <c r="G17" s="452">
        <f t="shared" si="4"/>
        <v>274</v>
      </c>
      <c r="H17" s="451">
        <f>IF(ISNUMBER(Datos!O17),Datos!O17," - ")</f>
        <v>14</v>
      </c>
      <c r="I17" s="452">
        <f t="shared" si="5"/>
        <v>2.8</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288</v>
      </c>
      <c r="G18" s="452">
        <f>IF(ISNUMBER(F18/B18),F18/B18," - ")</f>
        <v>288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298</v>
      </c>
      <c r="E23" s="1147">
        <f t="shared" si="3"/>
        <v>49.666666666666664</v>
      </c>
      <c r="F23" s="1146">
        <f>SUBTOTAL(9,F16:F22)</f>
        <v>1658</v>
      </c>
      <c r="G23" s="1147">
        <f t="shared" si="4"/>
        <v>276.33333333333331</v>
      </c>
      <c r="H23" s="1146">
        <f>SUBTOTAL(9,H16:H22)</f>
        <v>14</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601</v>
      </c>
      <c r="E31" s="1085">
        <f>IF(ISNUMBER(D31/B31),D31/B31," - ")</f>
        <v>120.2</v>
      </c>
      <c r="F31" s="1084">
        <f>SUBTOTAL(9,F8:F30)</f>
        <v>2063</v>
      </c>
      <c r="G31" s="1085">
        <f>IF(ISNUMBER(F31/B31),F31/B31," - ")</f>
        <v>412.6</v>
      </c>
      <c r="H31" s="1084">
        <f>SUBTOTAL(9,H8:H30)</f>
        <v>427</v>
      </c>
      <c r="I31" s="1085">
        <f>IF(ISNUMBER(H31/B31),H31/B31," - ")</f>
        <v>85.4</v>
      </c>
    </row>
    <row r="34" spans="1:1">
      <c r="A34" s="439" t="str">
        <f>Criterios!A4</f>
        <v>Fecha Informe: 05 may. 2023</v>
      </c>
    </row>
    <row r="39" spans="1:1">
      <c r="A39" s="462"/>
    </row>
  </sheetData>
  <sheetProtection algorithmName="SHA-512" hashValue="YvUeCHwqQtYo5n1VLuHLKsNJMLIvsAUaUsWW5kBho5VVy8zkjNS+tIsK4KX3Xz1Kp8fMiTWAMSyedLA6KNrNaw==" saltValue="UNjGV+qrpDdc6a6hQApy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MOTRIL</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8</v>
      </c>
      <c r="C10" s="489">
        <f>IF(ISNUMBER(Datos!Q10),Datos!Q10," - ")</f>
        <v>12</v>
      </c>
      <c r="D10" s="456">
        <f>IF(ISNUMBER(Datos!R10),Datos!R10," - ")</f>
        <v>31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229</v>
      </c>
      <c r="C12" s="489">
        <f>IF(ISNUMBER(Datos!Q12),Datos!Q12," - ")</f>
        <v>364</v>
      </c>
      <c r="D12" s="456">
        <f>IF(ISNUMBER(Datos!R12),Datos!R12," - ")</f>
        <v>2689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376</v>
      </c>
      <c r="D14" s="1148">
        <f>SUBTOTAL(9,D9:D13)</f>
        <v>2720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60</v>
      </c>
      <c r="D17" s="456">
        <f>IF(ISNUMBER(Datos!R17),Datos!R17," - ")</f>
        <v>129</v>
      </c>
    </row>
    <row r="18" spans="1:4">
      <c r="A18" s="450" t="str">
        <f>Datos!A18</f>
        <v>Jdos. Violencia contra la mujer</v>
      </c>
      <c r="B18" s="488">
        <f>IF(ISNUMBER(Datos!P18),Datos!P18," - ")</f>
        <v>2</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62</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280</v>
      </c>
      <c r="C31" s="1089">
        <f>SUBTOTAL(9,C8:C30)</f>
        <v>438</v>
      </c>
      <c r="D31" s="1090">
        <f>SUBTOTAL(9,D8:D30)</f>
        <v>2855</v>
      </c>
    </row>
    <row r="32" spans="1:4" ht="7.5" customHeight="1"/>
    <row r="33" spans="1:1" ht="6" customHeight="1"/>
    <row r="34" spans="1:1">
      <c r="A34" s="439" t="str">
        <f>Criterios!A4</f>
        <v>Fecha Informe: 05 may. 2023</v>
      </c>
    </row>
    <row r="39" spans="1:1">
      <c r="A39" s="462"/>
    </row>
  </sheetData>
  <sheetProtection algorithmName="SHA-512" hashValue="dI8Da9HatX5V5yxxyjQs5sphIWAGXl6h64sme4Jfnquv8GN/jHp8yTOVJnTj78g4otRD5d0hOhZlsGZhKozzkg==" saltValue="1Dog6lkq1+vxFgKp4n6/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MOTRIL</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-0.38461538461538464</v>
      </c>
      <c r="C10" s="515">
        <f>IF(ISNUMBER((Datos!J10-Datos!T10)/Datos!T10),(Datos!J10-Datos!T10)/Datos!T10," - ")</f>
        <v>0</v>
      </c>
      <c r="D10" s="515">
        <f>IF(ISNUMBER((Datos!K10-Datos!U10)/Datos!U10),(Datos!K10-Datos!U10)/Datos!U10," - ")</f>
        <v>-0.1111111111111111</v>
      </c>
      <c r="E10" s="515">
        <f>IF(ISNUMBER((Datos!L10-Datos!V10)/Datos!V10),(Datos!L10-Datos!V10)/Datos!V10," - ")</f>
        <v>-0.35135135135135137</v>
      </c>
      <c r="F10" s="515">
        <f>IF(ISNUMBER((Datos!M10-Datos!W10)/Datos!W10),(Datos!M10-Datos!W10)/Datos!W10," - ")</f>
        <v>-0.2857142857142857</v>
      </c>
      <c r="G10" s="516" t="str">
        <f>IF(ISNUMBER((Datos!N10-Datos!X10)/Datos!X10),(Datos!N10-Datos!X10)/Datos!X10," - ")</f>
        <v xml:space="preserve"> - </v>
      </c>
      <c r="H10" s="514">
        <f>IF(ISNUMBER(((NºAsuntos!G10/NºAsuntos!E10)-Datos!BD10)/Datos!BD10),((NºAsuntos!G10/NºAsuntos!E10)-Datos!BD10)/Datos!BD10," - ")</f>
        <v>-0.1111111111111111</v>
      </c>
      <c r="I10" s="515">
        <f>IF(ISNUMBER(((NºAsuntos!I10/NºAsuntos!G10)-Datos!BE10)/Datos!BE10),((NºAsuntos!I10/NºAsuntos!G10)-Datos!BE10)/Datos!BE10," - ")</f>
        <v>-0.27027027027027017</v>
      </c>
      <c r="J10" s="521">
        <f>IF(ISNUMBER((('Resol  Asuntos'!D10/NºAsuntos!G10)-Datos!BF10)/Datos!BF10),(('Resol  Asuntos'!D10/NºAsuntos!G10)-Datos!BF10)/Datos!BF10," - ")</f>
        <v>-0.19642857142857145</v>
      </c>
      <c r="K10" s="522">
        <f>IF(ISNUMBER((((NºAsuntos!C10+NºAsuntos!E10)/NºAsuntos!G10)-Datos!BG10)/Datos!BG10),(((NºAsuntos!C10+NºAsuntos!E10)/NºAsuntos!G10)-Datos!BG10)/Datos!BG10," - ")</f>
        <v>-0.18181818181818177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-4.5554095488392468E-2</v>
      </c>
      <c r="C12" s="515">
        <f>IF(ISNUMBER(
   IF(J_V="SI",(Datos!J12-Datos!T12)/Datos!T12,(Datos!J12+Datos!Z12-(Datos!T12+Datos!AH12))/(Datos!T12+Datos!AH12))
     ),IF(J_V="SI",(Datos!J12-Datos!T12)/Datos!T12,(Datos!J12+Datos!Z12-(Datos!T12+Datos!AH12))/(Datos!T12+Datos!AH12))," - ")</f>
        <v>-3.5414725069897485E-2</v>
      </c>
      <c r="D12" s="515">
        <f>IF(ISNUMBER(
   IF(J_V="SI",(Datos!K12-Datos!U12)/Datos!U12,(Datos!K12+Datos!AA12-(Datos!U12+Datos!AI12))/(Datos!U12+Datos!AI12))
     ),IF(J_V="SI",(Datos!K12-Datos!U12)/Datos!U12,(Datos!K12+Datos!AA12-(Datos!U12+Datos!AI12))/(Datos!U12+Datos!AI12))," - ")</f>
        <v>9.7512437810945277E-2</v>
      </c>
      <c r="E12" s="515">
        <f>IF(ISNUMBER(
   IF(J_V="SI",(Datos!L12-Datos!V12)/Datos!V12,(Datos!L12+Datos!AB12-(Datos!V12+Datos!AJ12))/(Datos!V12+Datos!AJ12))
     ),IF(J_V="SI",(Datos!L12-Datos!V12)/Datos!V12,(Datos!L12+Datos!AB12-(Datos!V12+Datos!AJ12))/(Datos!V12+Datos!AJ12))," - ")</f>
        <v>-0.10208421948107188</v>
      </c>
      <c r="F12" s="515">
        <f>IF(ISNUMBER((Datos!M12-Datos!W12)/Datos!W12),(Datos!M12-Datos!W12)/Datos!W12," - ")</f>
        <v>0.27350427350427353</v>
      </c>
      <c r="G12" s="516">
        <f>IF(ISNUMBER((Datos!N12-Datos!X12)/Datos!X12),(Datos!N12-Datos!X12)/Datos!X12," - ")</f>
        <v>-3.8369304556354913E-2</v>
      </c>
      <c r="H12" s="514">
        <f>IF(ISNUMBER(((NºAsuntos!G12/NºAsuntos!E12)-Datos!BD12)/Datos!BD12),((NºAsuntos!G12/NºAsuntos!E12)-Datos!BD12)/Datos!BD12," - ")</f>
        <v>0.1378075804552118</v>
      </c>
      <c r="I12" s="515">
        <f>IF(ISNUMBER(((NºAsuntos!I12/NºAsuntos!G12)-Datos!BE12)/Datos!BE12),((NºAsuntos!I12/NºAsuntos!G12)-Datos!BE12)/Datos!BE12," - ")</f>
        <v>-0.18186277477649793</v>
      </c>
      <c r="J12" s="521">
        <f>IF(ISNUMBER((('Resol  Asuntos'!D12/NºAsuntos!G12)-Datos!BF12)/Datos!BF12),(('Resol  Asuntos'!D12/NºAsuntos!G12)-Datos!BF12)/Datos!BF12," - ")</f>
        <v>-0.34886542262110526</v>
      </c>
      <c r="K12" s="522">
        <f>IF(ISNUMBER((((NºAsuntos!C12+NºAsuntos!E12)/NºAsuntos!G12)-Datos!BG12)/Datos!BG12),(((NºAsuntos!C12+NºAsuntos!E12)/NºAsuntos!G12)-Datos!BG12)/Datos!BG12," - ")</f>
        <v>-0.12740148495218911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-5.1248923341946598E-2</v>
      </c>
      <c r="C14" s="1152">
        <f>IF(ISNUMBER(
   IF(J_V="SI",(Datos!J14-Datos!T14)/Datos!T14,(Datos!J14+Datos!Z14-(Datos!T14+Datos!AH14))/(Datos!T14+Datos!AH14))
     ),IF(J_V="SI",(Datos!J14-Datos!T14)/Datos!T14,(Datos!J14+Datos!Z14-(Datos!T14+Datos!AH14))/(Datos!T14+Datos!AH14))," - ")</f>
        <v>-3.489439853076217E-2</v>
      </c>
      <c r="D14" s="1152">
        <f>IF(ISNUMBER(
   IF(J_V="SI",(Datos!K14-Datos!U14)/Datos!U14,(Datos!K14+Datos!AA14-(Datos!U14+Datos!AI14))/(Datos!U14+Datos!AI14))
     ),IF(J_V="SI",(Datos!K14-Datos!U14)/Datos!U14,(Datos!K14+Datos!AA14-(Datos!U14+Datos!AI14))/(Datos!U14+Datos!AI14))," - ")</f>
        <v>9.3841642228739003E-2</v>
      </c>
      <c r="E14" s="1152">
        <f>IF(ISNUMBER(
   IF(J_V="SI",(Datos!L14-Datos!V14)/Datos!V14,(Datos!L14+Datos!AB14-(Datos!V14+Datos!AJ14))/(Datos!V14+Datos!AJ14))
     ),IF(J_V="SI",(Datos!L14-Datos!V14)/Datos!V14,(Datos!L14+Datos!AB14-(Datos!V14+Datos!AJ14))/(Datos!V14+Datos!AJ14))," - ")</f>
        <v>-0.1059463986599665</v>
      </c>
      <c r="F14" s="1153">
        <f>IF(ISNUMBER((Datos!M14-Datos!W14)/Datos!W14),(Datos!M14-Datos!W14)/Datos!W14," - ")</f>
        <v>0.25726141078838172</v>
      </c>
      <c r="G14" s="1154">
        <f>IF(ISNUMBER((Datos!N14-Datos!X14)/Datos!X14),(Datos!N14-Datos!X14)/Datos!X14," - ")</f>
        <v>-2.8776978417266189E-2</v>
      </c>
      <c r="H14" s="1154">
        <f>IF(ISNUMBER(((NºAsuntos!G14/NºAsuntos!E14)-Datos!BD14)/Datos!BD14),((NºAsuntos!G14/NºAsuntos!E14)-Datos!BD14)/Datos!BD14," - ")</f>
        <v>0.13339062643872177</v>
      </c>
      <c r="I14" s="1154">
        <f>IF(ISNUMBER(((NºAsuntos!I14/NºAsuntos!G14)-Datos!BE14)/Datos!BE14),((NºAsuntos!I14/NºAsuntos!G14)-Datos!BE14)/Datos!BE14," - ")</f>
        <v>-0.1826480481046879</v>
      </c>
      <c r="J14" s="1154">
        <f>IF(ISNUMBER((('Resol  Asuntos'!D14/NºAsuntos!G14)-Datos!BF14)/Datos!BF14),(('Resol  Asuntos'!D14/NºAsuntos!G14)-Datos!BF14)/Datos!BF14," - ")</f>
        <v>-0.34668546714553089</v>
      </c>
      <c r="K14" s="1154">
        <f>IF(ISNUMBER((((NºAsuntos!C14+NºAsuntos!E14)/NºAsuntos!G14)-Datos!BG14)/Datos!BG14),(((NºAsuntos!C14+NºAsuntos!E14)/NºAsuntos!G14)-Datos!BG14)/Datos!BG14," - ")</f>
        <v>-0.12786969770565662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0.31443755535872453</v>
      </c>
      <c r="C17" s="515">
        <f>IF(ISNUMBER(
   IF(D_I="SI",(Datos!J17-Datos!T17)/Datos!T17,(Datos!J17+Datos!AD17-(Datos!T17+Datos!AL17))/(Datos!T17+Datos!AL17))
     ),IF(D_I="SI",(Datos!J17-Datos!T17)/Datos!T17,(Datos!J17+Datos!AD17-(Datos!T17+Datos!AL17))/(Datos!T17+Datos!AL17))," - ")</f>
        <v>0.12579617834394904</v>
      </c>
      <c r="D17" s="515">
        <f>IF(ISNUMBER(
   IF(D_I="SI",(Datos!K17-Datos!U17)/Datos!U17,(Datos!K17+Datos!AE17-(Datos!U17+Datos!AM17))/(Datos!U17+Datos!AM17))
     ),IF(D_I="SI",(Datos!K17-Datos!U17)/Datos!U17,(Datos!K17+Datos!AE17-(Datos!U17+Datos!AM17))/(Datos!U17+Datos!AM17))," - ")</f>
        <v>9.3766648907831651E-2</v>
      </c>
      <c r="E17" s="515">
        <f>IF(ISNUMBER(
   IF(D_I="SI",(Datos!L17-Datos!V17)/Datos!V17,(Datos!L17+Datos!AF17-(Datos!V17+Datos!AN17))/(Datos!V17+Datos!AN17))
     ),IF(D_I="SI",(Datos!L17-Datos!V17)/Datos!V17,(Datos!L17+Datos!AF17-(Datos!V17+Datos!AN17))/(Datos!V17+Datos!AN17))," - ")</f>
        <v>0.36555360281195082</v>
      </c>
      <c r="F17" s="515">
        <f>IF(ISNUMBER((Datos!M17-Datos!W17)/Datos!W17),(Datos!M17-Datos!W17)/Datos!W17," - ")</f>
        <v>9.6491228070175433E-2</v>
      </c>
      <c r="G17" s="516">
        <f>IF(ISNUMBER((Datos!N17-Datos!X17)/Datos!X17),(Datos!N17-Datos!X17)/Datos!X17," - ")</f>
        <v>0.10662358642972536</v>
      </c>
      <c r="H17" s="514">
        <f>IF(ISNUMBER(((NºAsuntos!G17/NºAsuntos!E17)-Datos!BD17)/Datos!BD17),((NºAsuntos!G17/NºAsuntos!E17)-Datos!BD17)/Datos!BD17," - ")</f>
        <v>-2.8450557971544072E-2</v>
      </c>
      <c r="I17" s="515">
        <f>IF(ISNUMBER(((NºAsuntos!I17/NºAsuntos!G17)-Datos!BE17)/Datos!BE17),((NºAsuntos!I17/NºAsuntos!G17)-Datos!BE17)/Datos!BE17," - ")</f>
        <v>0.24848714684755557</v>
      </c>
      <c r="J17" s="521">
        <f>IF(ISNUMBER((('Resol  Asuntos'!D17/NºAsuntos!G17)-Datos!BF17)/Datos!BF17),(('Resol  Asuntos'!D17/NºAsuntos!G17)-Datos!BF17)/Datos!BF17," - ")</f>
        <v>2.491005887832159E-3</v>
      </c>
      <c r="K17" s="522">
        <f>IF(ISNUMBER((((NºAsuntos!C17+NºAsuntos!E17)/NºAsuntos!G17)-Datos!BG17)/Datos!BG17),(((NºAsuntos!C17+NºAsuntos!E17)/NºAsuntos!G17)-Datos!BG17)/Datos!BG17," - ")</f>
        <v>9.3909667944832118E-2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-0.46268656716417911</v>
      </c>
      <c r="C18" s="515">
        <f>IF(ISNUMBER(
   IF(D_I="SI",(Datos!J18-Datos!T18)/Datos!T18,(Datos!J18+Datos!AD18-(Datos!T18+Datos!AL18))/(Datos!T18+Datos!AL18))
     ),IF(D_I="SI",(Datos!J18-Datos!T18)/Datos!T18,(Datos!J18+Datos!AD18-(Datos!T18+Datos!AL18))/(Datos!T18+Datos!AL18))," - ")</f>
        <v>-0.31403118040089084</v>
      </c>
      <c r="D18" s="515">
        <f>IF(ISNUMBER(
   IF(D_I="SI",(Datos!K18-Datos!U18)/Datos!U18,(Datos!K18+Datos!AE18-(Datos!U18+Datos!AM18))/(Datos!U18+Datos!AM18))
     ),IF(D_I="SI",(Datos!K18-Datos!U18)/Datos!U18,(Datos!K18+Datos!AE18-(Datos!U18+Datos!AM18))/(Datos!U18+Datos!AM18))," - ")</f>
        <v>-0.31981981981981983</v>
      </c>
      <c r="E18" s="515">
        <f>IF(ISNUMBER(
   IF(D_I="SI",(Datos!L18-Datos!V18)/Datos!V18,(Datos!L18+Datos!AF18-(Datos!V18+Datos!AN18))/(Datos!V18+Datos!AN18))
     ),IF(D_I="SI",(Datos!L18-Datos!V18)/Datos!V18,(Datos!L18+Datos!AF18-(Datos!V18+Datos!AN18))/(Datos!V18+Datos!AN18))," - ")</f>
        <v>-0.43884892086330934</v>
      </c>
      <c r="F18" s="515">
        <f>IF(ISNUMBER((Datos!M18-Datos!W18)/Datos!W18),(Datos!M18-Datos!W18)/Datos!W18," - ")</f>
        <v>0.54838709677419351</v>
      </c>
      <c r="G18" s="516">
        <f>IF(ISNUMBER((Datos!N18-Datos!X18)/Datos!X18),(Datos!N18-Datos!X18)/Datos!X18," - ")</f>
        <v>-0.21739130434782608</v>
      </c>
      <c r="H18" s="514">
        <f>IF(ISNUMBER(((NºAsuntos!G18/NºAsuntos!E18)-Datos!BD18)/Datos!BD18),((NºAsuntos!G18/NºAsuntos!E18)-Datos!BD18)/Datos!BD18," - ")</f>
        <v>-8.4386334386333649E-3</v>
      </c>
      <c r="I18" s="515">
        <f>IF(ISNUMBER(((NºAsuntos!I18/NºAsuntos!G18)-Datos!BE18)/Datos!BE18),((NºAsuntos!I18/NºAsuntos!G18)-Datos!BE18)/Datos!BE18," - ")</f>
        <v>-0.17499642669969995</v>
      </c>
      <c r="J18" s="521">
        <f>IF(ISNUMBER((('Resol  Asuntos'!D18/NºAsuntos!G18)-Datos!BF18)/Datos!BF18),(('Resol  Asuntos'!D18/NºAsuntos!G18)-Datos!BF18)/Datos!BF18," - ")</f>
        <v>1.2764366588335829</v>
      </c>
      <c r="K18" s="522">
        <f>IF(ISNUMBER((((NºAsuntos!C18+NºAsuntos!E18)/NºAsuntos!G18)-Datos!BG18)/Datos!BG18),(((NºAsuntos!C18+NºAsuntos!E18)/NºAsuntos!G18)-Datos!BG18)/Datos!BG18," - ")</f>
        <v>-4.1722990242295532E-2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0.23198733174980204</v>
      </c>
      <c r="C23" s="1152">
        <f>IF(ISNUMBER(
   IF(Criterios!B14="SI",(Datos!J23-Datos!T23)/Datos!T23,(Datos!J23+Datos!AD23-(Datos!T23+Datos!AL23))/(Datos!T23+Datos!AL23))
     ),IF(Criterios!B14="SI",(Datos!J23-Datos!T23)/Datos!T23,(Datos!J23+Datos!AD23-(Datos!T23+Datos!AL23))/(Datos!T23+Datos!AL23))," - ")</f>
        <v>4.1148735533647667E-2</v>
      </c>
      <c r="D23" s="1152">
        <f>IF(ISNUMBER(
   IF(Criterios!B14="SI",(Datos!K23-Datos!U23)/Datos!U23,(Datos!K23+Datos!AE23-(Datos!U23+Datos!AM23))/(Datos!U23+Datos!AM23))
     ),IF(Criterios!B14="SI",(Datos!K23-Datos!U23)/Datos!U23,(Datos!K23+Datos!AE23-(Datos!U23+Datos!AM23))/(Datos!U23+Datos!AM23))," - ")</f>
        <v>1.4648858250753986E-2</v>
      </c>
      <c r="E23" s="1152">
        <f>IF(ISNUMBER(
   IF(Criterios!B14="SI",(Datos!L23-Datos!V23)/Datos!V23,(Datos!L23+Datos!AF23-(Datos!V23+Datos!AN23))/(Datos!V23+Datos!AN23))
     ),IF(Criterios!B14="SI",(Datos!L23-Datos!V23)/Datos!V23,(Datos!L23+Datos!AF23-(Datos!V23+Datos!AN23))/(Datos!V23+Datos!AN23))," - ")</f>
        <v>0.27799530148786217</v>
      </c>
      <c r="F23" s="1153">
        <f>IF(ISNUMBER((Datos!M23-Datos!W23)/Datos!W23),(Datos!M23-Datos!W23)/Datos!W23," - ")</f>
        <v>0.15057915057915058</v>
      </c>
      <c r="G23" s="1154">
        <f>IF(ISNUMBER((Datos!N23-Datos!X23)/Datos!X23),(Datos!N23-Datos!X23)/Datos!X23," - ")</f>
        <v>3.2378580323785801E-2</v>
      </c>
      <c r="H23" s="1154">
        <f>IF(ISNUMBER(((NºAsuntos!G23/NºAsuntos!E23)-Datos!BD23)/Datos!BD23),((NºAsuntos!G23/NºAsuntos!E23)-Datos!BD23)/Datos!BD23," - ")</f>
        <v>-2.5452537546723251E-2</v>
      </c>
      <c r="I23" s="1154">
        <f>IF(ISNUMBER(((NºAsuntos!I23/NºAsuntos!G23)-Datos!BE23)/Datos!BE23),((NºAsuntos!I23/NºAsuntos!G23)-Datos!BE23)/Datos!BE23," - ")</f>
        <v>0.25954441390799488</v>
      </c>
      <c r="J23" s="1154">
        <f>IF(ISNUMBER((('Resol  Asuntos'!D23/NºAsuntos!G23)-Datos!BF23)/Datos!BF23),(('Resol  Asuntos'!D23/NºAsuntos!G23)-Datos!BF23)/Datos!BF23," - ")</f>
        <v>0.1339678167703646</v>
      </c>
      <c r="K23" s="1154">
        <f>IF(ISNUMBER((((NºAsuntos!C23+NºAsuntos!E23)/NºAsuntos!G23)-Datos!BG23)/Datos!BG23),(((NºAsuntos!C23+NºAsuntos!E23)/NºAsuntos!G23)-Datos!BG23)/Datos!BG23," - ")</f>
        <v>9.2176610482513119E-2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4.8535564853556486E-2</v>
      </c>
      <c r="C31" s="1092">
        <f>IF(ISNUMBER(
   IF(J_V="SI",(Datos!J31-Datos!T31)/Datos!T31,(Datos!J31+Datos!Z31-(Datos!T31+Datos!AH31))/(Datos!T31+Datos!AH31))
     ),IF(J_V="SI",(Datos!J31-Datos!T31)/Datos!T31,(Datos!J31+Datos!Z31-(Datos!T31+Datos!AH31))/(Datos!T31+Datos!AH31))," - ")</f>
        <v>1.6949152542372881E-2</v>
      </c>
      <c r="D31" s="1092">
        <f>IF(ISNUMBER(
   IF(J_V="SI",(Datos!K31-Datos!U31)/Datos!U31,(Datos!K31+Datos!AA31-(Datos!U31+Datos!AI31))/(Datos!U31+Datos!AI31))
     ),IF(J_V="SI",(Datos!K31-Datos!U31)/Datos!U31,(Datos!K31+Datos!AA31-(Datos!U31+Datos!AI31))/(Datos!U31+Datos!AI31))," - ")</f>
        <v>3.8875598086124404E-2</v>
      </c>
      <c r="E31" s="1092">
        <f>IF(ISNUMBER(
   IF(J_V="SI",(Datos!L31-Datos!V31)/Datos!V31,(Datos!L31+Datos!AB31-(Datos!V31+Datos!AJ31))/(Datos!V31+Datos!AJ31))
     ),IF(J_V="SI",(Datos!L31-Datos!V31)/Datos!V31,(Datos!L31+Datos!AB31-(Datos!V31+Datos!AJ31))/(Datos!V31+Datos!AJ31))," - ")</f>
        <v>2.7830832196452934E-2</v>
      </c>
      <c r="F31" s="1093">
        <f>IF(ISNUMBER((Datos!M31-Datos!W31)/Datos!W31),(Datos!M31-Datos!W31)/Datos!W31," - ")</f>
        <v>0.20200000000000001</v>
      </c>
      <c r="G31" s="1094">
        <f>IF(ISNUMBER((Datos!N31-Datos!X31)/Datos!X31),(Datos!N31-Datos!X31)/Datos!X31," - ")</f>
        <v>1.9772614928324272E-2</v>
      </c>
      <c r="H31" s="1095">
        <f>IF(ISNUMBER((Tasas!B31-Datos!BD31)/Datos!BD31),(Tasas!B31-Datos!BD31)/Datos!BD31," - ")</f>
        <v>2.1561004784689041E-2</v>
      </c>
      <c r="I31" s="1096">
        <f>IF(ISNUMBER((Tasas!C31-Datos!BE31)/Datos!BE31),(Tasas!C31-Datos!BE31)/Datos!BE31," - ")</f>
        <v>-1.06314614666268E-2</v>
      </c>
      <c r="J31" s="1097">
        <f>IF(ISNUMBER((Tasas!D31-Datos!BF31)/Datos!BF31),(Tasas!D31-Datos!BF31)/Datos!BF31," - ")</f>
        <v>-0.15298671326254601</v>
      </c>
      <c r="K31" s="1097">
        <f>IF(ISNUMBER((Tasas!E31-Datos!BG31)/Datos!BG31),(Tasas!E31-Datos!BG31)/Datos!BG31," - ")</f>
        <v>-5.5500877114496869E-3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upDrp2iKoj+TWdGwpi58V/hh7GkWuuQbCjZyco6+MzGXBROQZ68hb5DGN9y9p9Gf/jgyqoE0pGr9jtxiQ2CVg==" saltValue="gTf2O3sCEjawTCL31Hyv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MOTRIL</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1.5</v>
      </c>
      <c r="D10" s="499">
        <f>IF(ISNUMBER('Resol  Asuntos'!D10/NºAsuntos!G10),'Resol  Asuntos'!D10/NºAsuntos!G10," - ")</f>
        <v>0.3125</v>
      </c>
      <c r="E10" s="500">
        <f>IF(ISNUMBER((NºAsuntos!C10+NºAsuntos!E10)/NºAsuntos!G10),(NºAsuntos!C10+NºAsuntos!E10)/NºAsuntos!G10," - ")</f>
        <v>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1.0657004830917873</v>
      </c>
      <c r="C12" s="498">
        <f>IF(ISNUMBER(NºAsuntos!I12/NºAsuntos!G12),NºAsuntos!I12/NºAsuntos!G12," - ")</f>
        <v>1.9138712601994561</v>
      </c>
      <c r="D12" s="499">
        <f>IF(ISNUMBER('Resol  Asuntos'!D12/NºAsuntos!G12),'Resol  Asuntos'!D12/NºAsuntos!G12," - ")</f>
        <v>0.27017225747960111</v>
      </c>
      <c r="E12" s="500">
        <f>IF(ISNUMBER((NºAsuntos!C12+NºAsuntos!E12)/NºAsuntos!G12),(NºAsuntos!C12+NºAsuntos!E12)/NºAsuntos!G12," - ")</f>
        <v>2.9138712601994561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1.0647002854424357</v>
      </c>
      <c r="C14" s="1156">
        <f>IF(ISNUMBER(NºAsuntos!I14/NºAsuntos!G14),NºAsuntos!I14/NºAsuntos!G14," - ")</f>
        <v>1.9079535299374442</v>
      </c>
      <c r="D14" s="1157">
        <f>IF(ISNUMBER('Resol  Asuntos'!D14/NºAsuntos!G14),'Resol  Asuntos'!D14/NºAsuntos!G14," - ")</f>
        <v>0.27077747989276141</v>
      </c>
      <c r="E14" s="1158">
        <f>IF(ISNUMBER((NºAsuntos!C14+NºAsuntos!E14)/NºAsuntos!G14),(NºAsuntos!C14+NºAsuntos!E14)/NºAsuntos!G14," - ")</f>
        <v>2.9079535299374442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0.96793965110796798</v>
      </c>
      <c r="C17" s="498">
        <f>IF(ISNUMBER(NºAsuntos!I17/NºAsuntos!G17),NºAsuntos!I17/NºAsuntos!G17," - ")</f>
        <v>0.75694106186069166</v>
      </c>
      <c r="D17" s="499">
        <f>IF(ISNUMBER('Resol  Asuntos'!D17/NºAsuntos!G17),'Resol  Asuntos'!D17/NºAsuntos!G17," - ")</f>
        <v>0.12177301509985387</v>
      </c>
      <c r="E17" s="500">
        <f>IF(ISNUMBER((NºAsuntos!C17+NºAsuntos!E17)/NºAsuntos!G17),(NºAsuntos!C17+NºAsuntos!E17)/NºAsuntos!G17," - ")</f>
        <v>1.7559668777398929</v>
      </c>
      <c r="G17" s="523"/>
    </row>
    <row r="18" spans="1:7">
      <c r="A18" s="450" t="str">
        <f>Datos!A18</f>
        <v>Jdos. Violencia contra la mujer</v>
      </c>
      <c r="B18" s="497">
        <f>IF(ISNUMBER(NºAsuntos!G18/NºAsuntos!E18),NºAsuntos!G18/NºAsuntos!E18," - ")</f>
        <v>0.98051948051948057</v>
      </c>
      <c r="C18" s="498">
        <f>IF(ISNUMBER(NºAsuntos!I18/NºAsuntos!G18),NºAsuntos!I18/NºAsuntos!G18," - ")</f>
        <v>0.25827814569536423</v>
      </c>
      <c r="D18" s="499">
        <f>IF(ISNUMBER('Resol  Asuntos'!D18/NºAsuntos!G18),'Resol  Asuntos'!D18/NºAsuntos!G18," - ")</f>
        <v>0.15894039735099338</v>
      </c>
      <c r="E18" s="500">
        <f>IF(ISNUMBER((NºAsuntos!C18+NºAsuntos!E18)/NºAsuntos!G18),(NºAsuntos!C18+NºAsuntos!E18)/NºAsuntos!G18," - ")</f>
        <v>1.2582781456953642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0.96953478797859205</v>
      </c>
      <c r="C23" s="1156">
        <f>IF(ISNUMBER(NºAsuntos!I23/NºAsuntos!G23),NºAsuntos!I23/NºAsuntos!G23," - ")</f>
        <v>0.69299363057324836</v>
      </c>
      <c r="D23" s="1159">
        <f>IF(ISNUMBER('Resol  Asuntos'!D23/NºAsuntos!G23),'Resol  Asuntos'!D23/NºAsuntos!G23," - ")</f>
        <v>0.12653927813163482</v>
      </c>
      <c r="E23" s="1158">
        <f>IF(ISNUMBER((NºAsuntos!C23+NºAsuntos!E23)/NºAsuntos!G23),(NºAsuntos!C23+NºAsuntos!E23)/NºAsuntos!G23," - ")</f>
        <v>1.6921443736730362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0.99827586206896557</v>
      </c>
      <c r="C31" s="1099">
        <f>IF(ISNUMBER(NºAsuntos!I31/NºAsuntos!G31),NºAsuntos!I31/NºAsuntos!G31," - ")</f>
        <v>1.0843408175014393</v>
      </c>
      <c r="D31" s="1100">
        <f>IF(ISNUMBER('Resol  Asuntos'!D31/NºAsuntos!G31),'Resol  Asuntos'!D31/NºAsuntos!G31," - ")</f>
        <v>0.17299942429476109</v>
      </c>
      <c r="E31" s="1101">
        <f>IF(ISNUMBER((NºAsuntos!C31+NºAsuntos!E31)/NºAsuntos!G31),(NºAsuntos!C31+NºAsuntos!E31)/NºAsuntos!G31," - ")</f>
        <v>2.0837651122625216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GV5UT7S+Yg53Oy017iG0NobdY+4ClYmAGO7jUT32sUabeC/OouaHeMuUL1v4kyIWJ1NrmisZuTsr2DhsXxEHA==" saltValue="qtSkAy3seJt3A4v1bSvR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MOTRIL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16</v>
      </c>
      <c r="X10" s="240">
        <f>IF(ISNUMBER(Datos!Q10),Datos!Q10," - ")</f>
        <v>12</v>
      </c>
      <c r="Y10" s="374">
        <f t="shared" ref="Y10:Y13" si="0">SUM(W10:X10)</f>
        <v>28</v>
      </c>
      <c r="Z10" s="375" t="str">
        <f>IF(ISNUMBER(Datos!CC10),Datos!CC10," - ")</f>
        <v xml:space="preserve"> - </v>
      </c>
      <c r="AA10" s="372">
        <f>IF(ISNUMBER(Datos!L10),Datos!L10,"-")</f>
        <v>24</v>
      </c>
      <c r="AB10" s="374">
        <f>IF(ISNUMBER(Datos!R10),Datos!R10," - ")</f>
        <v>31</v>
      </c>
      <c r="AC10" s="374">
        <f t="shared" ref="AC10:AC13" si="1">IF(ISNUMBER(AA10+AB10),AA10+AB10," - ")</f>
        <v>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4.5</v>
      </c>
      <c r="AN10" s="267">
        <f>IF(ISNUMBER('Resol  Asuntos'!D10/NºAsuntos!G10),'Resol  Asuntos'!D10/NºAsuntos!G10," - ")</f>
        <v>0.3125</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364</v>
      </c>
      <c r="Y12" s="374">
        <f t="shared" si="0"/>
        <v>364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298</v>
      </c>
      <c r="AJ12" s="243" t="str">
        <f>IF(ISNUMBER(Datos!BW12),Datos!BW12," - ")</f>
        <v xml:space="preserve"> - </v>
      </c>
      <c r="AK12" s="242" t="str">
        <f>IF(ISNUMBER(Datos!BX12),Datos!BX12," - ")</f>
        <v xml:space="preserve"> - </v>
      </c>
      <c r="AL12" s="266">
        <f>IF(ISNUMBER(NºAsuntos!G12/NºAsuntos!E12),NºAsuntos!G12/NºAsuntos!E12," - ")</f>
        <v>1.0657004830917873</v>
      </c>
      <c r="AM12" s="284">
        <f>IF(ISNUMBER(((NºAsuntos!I12/NºAsuntos!G12)*11)/factor_trimestre),((NºAsuntos!I12/NºAsuntos!G12)*11)/factor_trimestre," - ")</f>
        <v>5.7416137805983682</v>
      </c>
      <c r="AN12" s="267">
        <f>IF(ISNUMBER('Resol  Asuntos'!D12/NºAsuntos!G12),'Resol  Asuntos'!D12/NºAsuntos!G12," - ")</f>
        <v>0.27017225747960111</v>
      </c>
      <c r="AO12" s="268">
        <f>IF(ISNUMBER((NºAsuntos!C12+NºAsuntos!E12)/NºAsuntos!G12),(NºAsuntos!C12+NºAsuntos!E12)/NºAsuntos!G12," - ")</f>
        <v>2.9138712601994561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24</v>
      </c>
      <c r="G14" s="1163">
        <f t="shared" si="5"/>
        <v>24</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16</v>
      </c>
      <c r="X14" s="1164">
        <f t="shared" si="6"/>
        <v>376</v>
      </c>
      <c r="Y14" s="1165">
        <f t="shared" si="6"/>
        <v>392</v>
      </c>
      <c r="Z14" s="1165">
        <f t="shared" si="6"/>
        <v>0</v>
      </c>
      <c r="AA14" s="1165">
        <f t="shared" si="6"/>
        <v>24</v>
      </c>
      <c r="AB14" s="1165">
        <f t="shared" si="6"/>
        <v>2720</v>
      </c>
      <c r="AC14" s="1165">
        <f t="shared" si="6"/>
        <v>55</v>
      </c>
      <c r="AD14" s="1165">
        <f t="shared" si="6"/>
        <v>0</v>
      </c>
      <c r="AE14" s="1169">
        <f t="shared" si="6"/>
        <v>0</v>
      </c>
      <c r="AF14" s="1162">
        <f t="shared" si="6"/>
        <v>0</v>
      </c>
      <c r="AG14" s="1170">
        <f t="shared" si="6"/>
        <v>0</v>
      </c>
      <c r="AH14" s="1167">
        <f t="shared" si="6"/>
        <v>0</v>
      </c>
      <c r="AI14" s="1162">
        <f t="shared" si="6"/>
        <v>303</v>
      </c>
      <c r="AJ14" s="1164">
        <f t="shared" si="6"/>
        <v>0</v>
      </c>
      <c r="AK14" s="1167">
        <f>SUBTOTAL(9,AK9:AK13)</f>
        <v>0</v>
      </c>
      <c r="AL14" s="1171">
        <f>IF(ISNUMBER(NºAsuntos!G14/NºAsuntos!E14),NºAsuntos!G14/NºAsuntos!E14," - ")</f>
        <v>1.0647002854424357</v>
      </c>
      <c r="AM14" s="1171">
        <f>IF(ISNUMBER(((NºAsuntos!I14/NºAsuntos!G14)*11)/factor_trimestre),((NºAsuntos!I14/NºAsuntos!G14)*11)/factor_trimestre," - ")</f>
        <v>5.7238605898123325</v>
      </c>
      <c r="AN14" s="1172">
        <f>IF(ISNUMBER('Resol  Asuntos'!D14/NºAsuntos!G14),'Resol  Asuntos'!D14/NºAsuntos!G14," - ")</f>
        <v>0.27077747989276141</v>
      </c>
      <c r="AO14" s="1173">
        <f>IF(ISNUMBER((NºAsuntos!C14+NºAsuntos!E14)/NºAsuntos!G14),(NºAsuntos!C14+NºAsuntos!E14)/NºAsuntos!G14," - ")</f>
        <v>2.9079535299374442</v>
      </c>
      <c r="AP14" s="1174" t="str">
        <f t="shared" si="2"/>
        <v xml:space="preserve"> - </v>
      </c>
      <c r="AQ14" s="1174">
        <f>IF(ISNUMBER((H14-W14+K14)/(F14)),(H14-W14+K14)/(F14)," - ")</f>
        <v>-0.66666666666666663</v>
      </c>
      <c r="AR14" s="1175">
        <f>IF(ISNUMBER((Datos!P14-Datos!Q14)/(Datos!R14-Datos!P14+Datos!Q14)),(Datos!P14-Datos!Q14)/(Datos!R14-Datos!P14+Datos!Q14)," - ")</f>
        <v>-4.8618398041273173E-2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1486</v>
      </c>
      <c r="G17" s="373">
        <f>IF(ISNUMBER(IF(D_I="SI",Datos!I17,Datos!I17+Datos!AC17)),IF(D_I="SI",Datos!I17,Datos!I17+Datos!AC17)," - ")</f>
        <v>1484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2053</v>
      </c>
      <c r="X17" s="240">
        <f>IF(ISNUMBER(Datos!Q17),Datos!Q17," - ")</f>
        <v>60</v>
      </c>
      <c r="Y17" s="374">
        <f t="shared" ref="Y17:Y22" si="9">SUM(W17:X17)</f>
        <v>2113</v>
      </c>
      <c r="Z17" s="375" t="str">
        <f>IF(ISNUMBER(Datos!CC17),Datos!CC17," - ")</f>
        <v xml:space="preserve"> - </v>
      </c>
      <c r="AA17" s="372">
        <f>IF(ISNUMBER(IF(D_I="SI",Datos!L17,Datos!L17+Datos!AF17)),IF(D_I="SI",Datos!L17,Datos!L17+Datos!AF17)," - ")</f>
        <v>1554</v>
      </c>
      <c r="AB17" s="374">
        <f>IF(ISNUMBER(Datos!R17),Datos!R17," - ")</f>
        <v>129</v>
      </c>
      <c r="AC17" s="374">
        <f t="shared" si="8"/>
        <v>1683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250</v>
      </c>
      <c r="AJ17" s="245" t="str">
        <f>IF(ISNUMBER(Datos!BW17),Datos!BW17," - ")</f>
        <v xml:space="preserve"> - </v>
      </c>
      <c r="AK17" s="246" t="str">
        <f>IF(ISNUMBER(Datos!BX17),Datos!BX17," - ")</f>
        <v xml:space="preserve"> - </v>
      </c>
      <c r="AL17" s="266">
        <f>IF(ISNUMBER(NºAsuntos!G17/NºAsuntos!E17),NºAsuntos!G17/NºAsuntos!E17," - ")</f>
        <v>0.96793965110796798</v>
      </c>
      <c r="AM17" s="284">
        <f>IF(ISNUMBER(((NºAsuntos!I17/NºAsuntos!G17)*11)/factor_trimestre),((NºAsuntos!I17/NºAsuntos!G17)*11)/factor_trimestre," - ")</f>
        <v>2.2708231855820751</v>
      </c>
      <c r="AN17" s="267">
        <f>IF(ISNUMBER('Resol  Asuntos'!D17/NºAsuntos!G17),'Resol  Asuntos'!D17/NºAsuntos!G17," - ")</f>
        <v>0.12177301509985387</v>
      </c>
      <c r="AO17" s="268">
        <f>IF(ISNUMBER((NºAsuntos!C17+NºAsuntos!E17)/NºAsuntos!G17),(NºAsuntos!C17+NºAsuntos!E17)/NºAsuntos!G17," - ")</f>
        <v>1.7559668777398929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302</v>
      </c>
      <c r="X18" s="240">
        <f>IF(ISNUMBER(Datos!Q18),Datos!Q18," - ")</f>
        <v>2</v>
      </c>
      <c r="Y18" s="374">
        <f t="shared" si="9"/>
        <v>304</v>
      </c>
      <c r="Z18" s="375" t="str">
        <f>IF(ISNUMBER(Datos!CC18),Datos!CC18," - ")</f>
        <v xml:space="preserve"> - </v>
      </c>
      <c r="AA18" s="372">
        <f>IF(ISNUMBER(Datos!L18),Datos!L18,"-")</f>
        <v>78</v>
      </c>
      <c r="AB18" s="374">
        <f>IF(ISNUMBER(Datos!R18),Datos!R18," - ")</f>
        <v>6</v>
      </c>
      <c r="AC18" s="374">
        <f t="shared" si="8"/>
        <v>84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0.98051948051948057</v>
      </c>
      <c r="AM18" s="284">
        <f>IF(ISNUMBER(((NºAsuntos!I18/NºAsuntos!G18)*11)/factor_trimestre),((NºAsuntos!I18/NºAsuntos!G18)*11)/factor_trimestre," - ")</f>
        <v>0.77483443708609279</v>
      </c>
      <c r="AN18" s="267">
        <f>IF(ISNUMBER('Resol  Asuntos'!D18/NºAsuntos!G18),'Resol  Asuntos'!D18/NºAsuntos!G18," - ")</f>
        <v>0.15894039735099338</v>
      </c>
      <c r="AO18" s="268">
        <f>IF(ISNUMBER((NºAsuntos!C18+NºAsuntos!E18)/NºAsuntos!G18),(NºAsuntos!C18+NºAsuntos!E18)/NºAsuntos!G18," - ")</f>
        <v>1.2582781456953642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1486</v>
      </c>
      <c r="G23" s="1163">
        <f>SUBTOTAL(9,G16:G22)</f>
        <v>1556</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2355</v>
      </c>
      <c r="X23" s="1164">
        <f t="shared" si="14"/>
        <v>62</v>
      </c>
      <c r="Y23" s="1165">
        <f t="shared" si="14"/>
        <v>2417</v>
      </c>
      <c r="Z23" s="1165">
        <f t="shared" si="14"/>
        <v>0</v>
      </c>
      <c r="AA23" s="1165">
        <f t="shared" si="14"/>
        <v>1632</v>
      </c>
      <c r="AB23" s="1165">
        <f t="shared" si="14"/>
        <v>135</v>
      </c>
      <c r="AC23" s="1165">
        <f t="shared" si="14"/>
        <v>1767</v>
      </c>
      <c r="AD23" s="1165">
        <f t="shared" si="14"/>
        <v>0</v>
      </c>
      <c r="AE23" s="1169">
        <f t="shared" si="14"/>
        <v>0</v>
      </c>
      <c r="AF23" s="1162">
        <f t="shared" si="14"/>
        <v>0</v>
      </c>
      <c r="AG23" s="1170">
        <f t="shared" si="14"/>
        <v>0</v>
      </c>
      <c r="AH23" s="1167">
        <f t="shared" si="14"/>
        <v>0</v>
      </c>
      <c r="AI23" s="1162">
        <f t="shared" si="14"/>
        <v>298</v>
      </c>
      <c r="AJ23" s="1164">
        <f t="shared" si="14"/>
        <v>0</v>
      </c>
      <c r="AK23" s="1167">
        <f t="shared" si="14"/>
        <v>0</v>
      </c>
      <c r="AL23" s="1171">
        <f>IF(ISNUMBER(NºAsuntos!G23/NºAsuntos!E23),NºAsuntos!G23/NºAsuntos!E23," - ")</f>
        <v>0.96953478797859205</v>
      </c>
      <c r="AM23" s="1171">
        <f>IF(ISNUMBER(((NºAsuntos!I23/NºAsuntos!G23)*11)/factor_trimestre),((NºAsuntos!I23/NºAsuntos!G23)*11)/factor_trimestre," - ")</f>
        <v>2.0789808917197452</v>
      </c>
      <c r="AN23" s="1172">
        <f>IF(ISNUMBER('Resol  Asuntos'!D23/NºAsuntos!G23),'Resol  Asuntos'!D23/NºAsuntos!G23," - ")</f>
        <v>0.12653927813163482</v>
      </c>
      <c r="AO23" s="1173">
        <f>IF(ISNUMBER((NºAsuntos!C23+NºAsuntos!E23)/NºAsuntos!G23),(NºAsuntos!C23+NºAsuntos!E23)/NºAsuntos!G23," - ")</f>
        <v>1.6921443736730362</v>
      </c>
      <c r="AP23" s="1174" t="str">
        <f t="shared" si="2"/>
        <v xml:space="preserve"> - </v>
      </c>
      <c r="AQ23" s="1174">
        <f>IF(ISNUMBER((H23-W23+K23)/(F23)),(H23-W23+K23)/(F23)," - ")</f>
        <v>-1.5847913862718708</v>
      </c>
      <c r="AR23" s="1175">
        <f>IF(ISNUMBER((Datos!P23-Datos!Q23)/(Datos!R23-Datos!P23+Datos!Q23)),(Datos!P23-Datos!Q23)/(Datos!R23-Datos!P23+Datos!Q23)," - ")</f>
        <v>-0.12337662337662338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1510</v>
      </c>
      <c r="G31" s="1118">
        <f t="shared" si="20"/>
        <v>1580</v>
      </c>
      <c r="H31" s="1117">
        <f t="shared" si="20"/>
        <v>0</v>
      </c>
      <c r="I31" s="1119">
        <f t="shared" si="20"/>
        <v>0</v>
      </c>
      <c r="J31" s="1119">
        <f t="shared" si="20"/>
        <v>0</v>
      </c>
      <c r="K31" s="1180">
        <f t="shared" si="20"/>
        <v>0</v>
      </c>
      <c r="L31" s="1119">
        <f t="shared" si="20"/>
        <v>280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2371</v>
      </c>
      <c r="X31" s="1118">
        <f t="shared" si="21"/>
        <v>438</v>
      </c>
      <c r="Y31" s="1125">
        <f t="shared" si="21"/>
        <v>2809</v>
      </c>
      <c r="Z31" s="1125">
        <f t="shared" si="21"/>
        <v>0</v>
      </c>
      <c r="AA31" s="1125">
        <f t="shared" si="21"/>
        <v>1656</v>
      </c>
      <c r="AB31" s="1125">
        <f t="shared" si="21"/>
        <v>2855</v>
      </c>
      <c r="AC31" s="1125">
        <f t="shared" si="21"/>
        <v>1822</v>
      </c>
      <c r="AD31" s="1125">
        <f t="shared" si="21"/>
        <v>0</v>
      </c>
      <c r="AE31" s="1127">
        <f t="shared" si="21"/>
        <v>0</v>
      </c>
      <c r="AF31" s="1128">
        <f t="shared" si="21"/>
        <v>0</v>
      </c>
      <c r="AG31" s="1129">
        <f t="shared" si="21"/>
        <v>0</v>
      </c>
      <c r="AH31" s="1127">
        <f t="shared" si="21"/>
        <v>0</v>
      </c>
      <c r="AI31" s="1117">
        <f t="shared" si="21"/>
        <v>601</v>
      </c>
      <c r="AJ31" s="1117">
        <f t="shared" si="21"/>
        <v>0</v>
      </c>
      <c r="AK31" s="1127">
        <f t="shared" si="21"/>
        <v>0</v>
      </c>
      <c r="AL31" s="1183">
        <f>IF(ISNUMBER(NºAsuntos!G31/NºAsuntos!E31),NºAsuntos!G31/NºAsuntos!E31," - ")</f>
        <v>0.99827586206896557</v>
      </c>
      <c r="AM31" s="1184">
        <f>IF(ISNUMBER(((NºAsuntos!I31/NºAsuntos!G31)*11)/factor_trimestre),((NºAsuntos!I31/NºAsuntos!G31)*11)/factor_trimestre," - ")</f>
        <v>3.2530224525043181</v>
      </c>
      <c r="AN31" s="1184">
        <f>IF(ISNUMBER('Resol  Asuntos'!D31/NºAsuntos!G31),'Resol  Asuntos'!D31/NºAsuntos!G31," - ")</f>
        <v>0.17299942429476109</v>
      </c>
      <c r="AO31" s="1185">
        <f>IF(ISNUMBER((NºAsuntos!C31+NºAsuntos!E31)/NºAsuntos!G31),(NºAsuntos!C31+NºAsuntos!E31)/NºAsuntos!G31," - ")</f>
        <v>2.0837651122625216</v>
      </c>
      <c r="AP31" s="1186" t="str">
        <f t="shared" si="2"/>
        <v xml:space="preserve"> - </v>
      </c>
      <c r="AQ31" s="1187">
        <f>IF(OR(ISNUMBER(FIND("01",Criterios!A8,1)),ISNUMBER(FIND("02",Criterios!A8,1)),ISNUMBER(FIND("03",Criterios!A8,1)),ISNUMBER(FIND("04",Criterios!A8,1))),(I31-W31+K31)/(F31-K31),(H31-W31+K31)/(F31-K31))</f>
        <v>-1.5701986754966888</v>
      </c>
      <c r="AR31" s="1188">
        <f>IF(ISNUMBER((Datos!P31-Datos!Q31)/(Datos!R31-Datos!P31+Datos!Q31)),(Datos!P31-Datos!Q31)/(Datos!R31-Datos!P31+Datos!Q31)," - ")</f>
        <v>-5.2439429140391638E-2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451.42857142857144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761.24599615805312</v>
      </c>
      <c r="G33" s="277">
        <f>IF(ISNUMBER(STDEV(G8:G30)),STDEV(G8:G30),"-")</f>
        <v>730.66336460845798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1051.9968087947252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148.15315434663259</v>
      </c>
      <c r="AJ33" s="276">
        <f t="shared" si="25"/>
        <v>0</v>
      </c>
      <c r="AK33" s="278">
        <f t="shared" si="25"/>
        <v>0</v>
      </c>
      <c r="AL33" s="273">
        <f t="shared" si="25"/>
        <v>4.5711760402068043E-2</v>
      </c>
      <c r="AM33" s="274">
        <f t="shared" si="25"/>
        <v>2.0940741709936286</v>
      </c>
      <c r="AN33" s="274">
        <f t="shared" si="25"/>
        <v>8.3877942726521521E-2</v>
      </c>
      <c r="AO33" s="275">
        <f t="shared" si="25"/>
        <v>0.6982570850591705</v>
      </c>
      <c r="AP33" s="317" t="str">
        <f t="shared" si="25"/>
        <v>-</v>
      </c>
      <c r="AQ33" s="318">
        <f t="shared" si="25"/>
        <v>0.64921221520783701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cPqtHzCTplaM8Z0bVKMn4De+YQl2MayjXxHr3FHaaVQoK9/vEpi/TzaWUijgGAYI1m/OFzU06n4Xg6+RvQ4zQ==" saltValue="oRtZryhRcANoHpCopFF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MOTRIL</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-0.38461538461538464</v>
      </c>
      <c r="E10" s="393">
        <f>IF(ISNUMBER((Datos!J10-Datos!T10)/Datos!T10),(Datos!J10-Datos!T10)/Datos!T10," - ")</f>
        <v>0</v>
      </c>
      <c r="F10" s="393">
        <f>IF(ISNUMBER((Datos!K10-Datos!U10)/Datos!U10),(Datos!K10-Datos!U10)/Datos!U10," - ")</f>
        <v>-0.1111111111111111</v>
      </c>
      <c r="G10" s="394">
        <f>IF(ISNUMBER((Datos!L10-Datos!V10)/Datos!V10),(Datos!L10-Datos!V10)/Datos!V10," - ")</f>
        <v>-0.35135135135135137</v>
      </c>
      <c r="H10" s="244">
        <f>IF(ISNUMBER((Datos!M10-Datos!W10)/Datos!W10),(Datos!M10-Datos!W10)/Datos!W10," - ")</f>
        <v>-0.2857142857142857</v>
      </c>
      <c r="I10" s="395">
        <f>IF(ISNUMBER((Tasas!C10-Datos!BE10)/Datos!BE10),(Tasas!C10-Datos!BE10)/Datos!BE10," - ")</f>
        <v>-0.27027027027027017</v>
      </c>
      <c r="J10" s="394">
        <f>IF(ISNUMBER((Tasas!D10-Datos!BF10)/Datos!BF10),(Tasas!D10-Datos!BF10)/Datos!BF10," - ")</f>
        <v>-0.19642857142857145</v>
      </c>
      <c r="K10" s="396">
        <f>IF(ISNUMBER((Tasas!E10-Datos!BG10)/Datos!BG10),(Tasas!E10-Datos!BG10)/Datos!BG10," - ")</f>
        <v>-0.18181818181818177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0.27350427350427353</v>
      </c>
      <c r="I12" s="395">
        <f>IF(ISNUMBER((Tasas!C12-Datos!BE12)/Datos!BE12),(Tasas!C12-Datos!BE12)/Datos!BE12," - ")</f>
        <v>-0.18186277477649793</v>
      </c>
      <c r="J12" s="394">
        <f>IF(ISNUMBER((Tasas!D12-Datos!BF12)/Datos!BF12),(Tasas!D12-Datos!BF12)/Datos!BF12," - ")</f>
        <v>-0.34886542262110526</v>
      </c>
      <c r="K12" s="396">
        <f>IF(ISNUMBER((Tasas!E12-Datos!BG12)/Datos!BG12),(Tasas!E12-Datos!BG12)/Datos!BG12," - ")</f>
        <v>-0.12740148495218911</v>
      </c>
      <c r="M12" t="e">
        <f>IF(Monitorios="SI",Datos!CE12,0)</f>
        <v>#REF!</v>
      </c>
      <c r="N12" t="e">
        <f>IF(Monitorios="SI",Datos!CF12,0)</f>
        <v>#REF!</v>
      </c>
      <c r="O12" t="e">
        <f>IF(Monitorios="SI",Datos!CG12,0)</f>
        <v>#REF!</v>
      </c>
      <c r="P12" t="e">
        <f>IF(Monitorios="SI",Datos!CH12,0)</f>
        <v>#REF!</v>
      </c>
      <c r="Q12">
        <f>IF(J_V="SI",0,Datos!AG12)</f>
        <v>116</v>
      </c>
      <c r="R12">
        <f>IF(J_V="SI",0,Datos!AH12)</f>
        <v>71</v>
      </c>
      <c r="S12">
        <f>IF(J_V="SI",0,Datos!AI12)</f>
        <v>77</v>
      </c>
      <c r="T12">
        <f>IF(J_V="SI",0,Datos!AJ12)</f>
        <v>110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0.25726141078838172</v>
      </c>
      <c r="I14" s="402">
        <f>IF(ISNUMBER((Tasas!C14-Datos!BE14)/Datos!BE14),(Tasas!C14-Datos!BE14)/Datos!BE14," - ")</f>
        <v>-0.1826480481046879</v>
      </c>
      <c r="J14" s="400">
        <f>IF(ISNUMBER((Tasas!D14-Datos!BF14)/Datos!BF14),(Tasas!D14-Datos!BF14)/Datos!BF14," - ")</f>
        <v>-0.34668546714553089</v>
      </c>
      <c r="K14" s="403">
        <f>IF(ISNUMBER((Tasas!E14-Datos!BG14)/Datos!BG14),(Tasas!E14-Datos!BG14)/Datos!BG14," - ")</f>
        <v>-0.12786969770565662</v>
      </c>
      <c r="M14" t="e">
        <f>IF(Monitorios="SI",Datos!CE14,0)</f>
        <v>#REF!</v>
      </c>
      <c r="N14" t="e">
        <f>IF(Monitorios="SI",Datos!CF14,0)</f>
        <v>#REF!</v>
      </c>
      <c r="O14" t="e">
        <f>IF(Monitorios="SI",Datos!CG14,0)</f>
        <v>#REF!</v>
      </c>
      <c r="P14" t="e">
        <f>IF(Monitorios="SI",Datos!CH14,0)</f>
        <v>#REF!</v>
      </c>
      <c r="Q14">
        <f>IF(J_V="SI",0,Datos!AG14)</f>
        <v>116</v>
      </c>
      <c r="R14">
        <f>IF(J_V="SI",0,Datos!AH14)</f>
        <v>71</v>
      </c>
      <c r="S14">
        <f>IF(J_V="SI",0,Datos!AI14)</f>
        <v>77</v>
      </c>
      <c r="T14">
        <f>IF(J_V="SI",0,Datos!AJ14)</f>
        <v>110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0.31443755535872453</v>
      </c>
      <c r="E17" s="393">
        <f>IF(ISNUMBER(
   IF(D_I="SI",(Datos!J17-Datos!T17)/Datos!T17,(Datos!J17+Datos!AD17-(Datos!T17+Datos!AL17))/(Datos!T17+Datos!AL17))
     ),IF(D_I="SI",(Datos!J17-Datos!T17)/Datos!T17,(Datos!J17+Datos!AD17-(Datos!T17+Datos!AL17))/(Datos!T17+Datos!AL17))," - ")</f>
        <v>0.12579617834394904</v>
      </c>
      <c r="F17" s="393">
        <f>IF(ISNUMBER(
   IF(D_I="SI",(Datos!K17-Datos!U17)/Datos!U17,(Datos!K17+Datos!AE17-(Datos!U17+Datos!AM17))/(Datos!U17+Datos!AM17))
     ),IF(D_I="SI",(Datos!K17-Datos!U17)/Datos!U17,(Datos!K17+Datos!AE17-(Datos!U17+Datos!AM17))/(Datos!U17+Datos!AM17))," - ")</f>
        <v>9.3766648907831651E-2</v>
      </c>
      <c r="G17" s="394">
        <f>IF(ISNUMBER(
   IF(D_I="SI",(Datos!L17-Datos!V17)/Datos!V17,(Datos!L17+Datos!AF17-(Datos!V17+Datos!AN17))/(Datos!V17+Datos!AN17))
     ),IF(D_I="SI",(Datos!L17-Datos!V17)/Datos!V17,(Datos!L17+Datos!AF17-(Datos!V17+Datos!AN17))/(Datos!V17+Datos!AN17))," - ")</f>
        <v>0.36555360281195082</v>
      </c>
      <c r="H17" s="244">
        <f>IF(ISNUMBER((Datos!M17-Datos!W17)/Datos!W17),(Datos!M17-Datos!W17)/Datos!W17," - ")</f>
        <v>9.6491228070175433E-2</v>
      </c>
      <c r="I17" s="395">
        <f>IF(ISNUMBER((Tasas!C17-Datos!BE17)/Datos!BE17),(Tasas!C17-Datos!BE17)/Datos!BE17," - ")</f>
        <v>0.24848714684755557</v>
      </c>
      <c r="J17" s="394">
        <f>IF(ISNUMBER((Tasas!D17-Datos!BF17)/Datos!BF17),(Tasas!D17-Datos!BF17)/Datos!BF17," - ")</f>
        <v>2.491005887832159E-3</v>
      </c>
      <c r="K17" s="396">
        <f>IF(ISNUMBER((Tasas!E17-Datos!BG17)/Datos!BG17),(Tasas!E17-Datos!BG17)/Datos!BG17," - ")</f>
        <v>9.3909667944832118E-2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-0.46268656716417911</v>
      </c>
      <c r="E18" s="393">
        <f>IF(ISNUMBER(
   IF(D_I="SI",(Datos!J18-Datos!T18)/Datos!T18,(Datos!J18+Datos!AD18-(Datos!T18+Datos!AL18))/(Datos!T18+Datos!AL18))
     ),IF(D_I="SI",(Datos!J18-Datos!T18)/Datos!T18,(Datos!J18+Datos!AD18-(Datos!T18+Datos!AL18))/(Datos!T18+Datos!AL18))," - ")</f>
        <v>-0.31403118040089084</v>
      </c>
      <c r="F18" s="393">
        <f>IF(ISNUMBER(
   IF(D_I="SI",(Datos!K18-Datos!U18)/Datos!U18,(Datos!K18+Datos!AE18-(Datos!U18+Datos!AM18))/(Datos!U18+Datos!AM18))
     ),IF(D_I="SI",(Datos!K18-Datos!U18)/Datos!U18,(Datos!K18+Datos!AE18-(Datos!U18+Datos!AM18))/(Datos!U18+Datos!AM18))," - ")</f>
        <v>-0.31981981981981983</v>
      </c>
      <c r="G18" s="394">
        <f>IF(ISNUMBER(
   IF(D_I="SI",(Datos!L18-Datos!V18)/Datos!V18,(Datos!L18+Datos!AF18-(Datos!V18+Datos!AN18))/(Datos!V18+Datos!AN18))
     ),IF(D_I="SI",(Datos!L18-Datos!V18)/Datos!V18,(Datos!L18+Datos!AF18-(Datos!V18+Datos!AN18))/(Datos!V18+Datos!AN18))," - ")</f>
        <v>-0.43884892086330934</v>
      </c>
      <c r="H18" s="244">
        <f>IF(ISNUMBER((Datos!M18-Datos!W18)/Datos!W18),(Datos!M18-Datos!W18)/Datos!W18," - ")</f>
        <v>0.54838709677419351</v>
      </c>
      <c r="I18" s="395">
        <f>IF(ISNUMBER((Tasas!C18-Datos!BE18)/Datos!BE18),(Tasas!C18-Datos!BE18)/Datos!BE18," - ")</f>
        <v>-0.17499642669969995</v>
      </c>
      <c r="J18" s="394">
        <f>IF(ISNUMBER((Tasas!D18-Datos!BF18)/Datos!BF18),(Tasas!D18-Datos!BF18)/Datos!BF18," - ")</f>
        <v>1.2764366588335829</v>
      </c>
      <c r="K18" s="396">
        <f>IF(ISNUMBER((Tasas!E18-Datos!BG18)/Datos!BG18),(Tasas!E18-Datos!BG18)/Datos!BG18," - ")</f>
        <v>-4.1722990242295532E-2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0.23198733174980204</v>
      </c>
      <c r="E23" s="399">
        <f>IF(ISNUMBER(
   IF(D_I="SI",(Datos!J23-Datos!T23)/Datos!T23,(Datos!J23+Datos!AD23-(Datos!T23+Datos!AL23))/(Datos!T23+Datos!AL23))
     ),IF(D_I="SI",(Datos!J23-Datos!T23)/Datos!T23,(Datos!J23+Datos!AD23-(Datos!T23+Datos!AL23))/(Datos!T23+Datos!AL23))," - ")</f>
        <v>4.1148735533647667E-2</v>
      </c>
      <c r="F23" s="399">
        <f>IF(ISNUMBER(
   IF(D_I="SI",(Datos!K23-Datos!U23)/Datos!U23,(Datos!K23+Datos!AE23-(Datos!U23+Datos!AM23))/(Datos!U23+Datos!AM23))
     ),IF(D_I="SI",(Datos!K23-Datos!U23)/Datos!U23,(Datos!K23+Datos!AE23-(Datos!U23+Datos!AM23))/(Datos!U23+Datos!AM23))," - ")</f>
        <v>1.4648858250753986E-2</v>
      </c>
      <c r="G23" s="400">
        <f>IF(ISNUMBER(
   IF(D_I="SI",(Datos!L23-Datos!V23)/Datos!V23,(Datos!L23+Datos!AF23-(Datos!V23+Datos!AN23))/(Datos!V23+Datos!AN23))
     ),IF(D_I="SI",(Datos!L23-Datos!V23)/Datos!V23,(Datos!L23+Datos!AF23-(Datos!V23+Datos!AN23))/(Datos!V23+Datos!AN23))," - ")</f>
        <v>0.27799530148786217</v>
      </c>
      <c r="H23" s="401">
        <f>IF(ISNUMBER((Datos!M23-Datos!W23)/Datos!W23),(Datos!M23-Datos!W23)/Datos!W23," - ")</f>
        <v>0.15057915057915058</v>
      </c>
      <c r="I23" s="402">
        <f>IF(ISNUMBER((Tasas!C23-Datos!BE23)/Datos!BE23),(Tasas!C23-Datos!BE23)/Datos!BE23," - ")</f>
        <v>0.25954441390799488</v>
      </c>
      <c r="J23" s="400">
        <f>IF(ISNUMBER((Tasas!D23-Datos!BF23)/Datos!BF23),(Tasas!D23-Datos!BF23)/Datos!BF23," - ")</f>
        <v>0.1339678167703646</v>
      </c>
      <c r="K23" s="403">
        <f>IF(ISNUMBER((Tasas!E23-Datos!BG23)/Datos!BG23),(Tasas!E23-Datos!BG23)/Datos!BG23," - ")</f>
        <v>9.2176610482513119E-2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4.8535564853556486E-2</v>
      </c>
      <c r="E31" s="409">
        <f>IF(ISNUMBER(
   IF(J_V="SI",(Datos!J31-Datos!T31)/Datos!T31,(Datos!J31+Datos!Z31-(Datos!T31+Datos!AH31))/(Datos!T31+Datos!AH31))
     ),IF(J_V="SI",(Datos!J31-Datos!T31)/Datos!T31,(Datos!J31+Datos!Z31-(Datos!T31+Datos!AH31))/(Datos!T31+Datos!AH31))," - ")</f>
        <v>1.6949152542372881E-2</v>
      </c>
      <c r="F31" s="409">
        <f>IF(ISNUMBER(
   IF(J_V="SI",(Datos!K31-Datos!U31)/Datos!U31,(Datos!K31+Datos!AA31-(Datos!U31+Datos!AI31))/(Datos!U31+Datos!AI31))
     ),IF(J_V="SI",(Datos!K31-Datos!U31)/Datos!U31,(Datos!K31+Datos!AA31-(Datos!U31+Datos!AI31))/(Datos!U31+Datos!AI31))," - ")</f>
        <v>3.8875598086124404E-2</v>
      </c>
      <c r="G31" s="410">
        <f>IF(ISNUMBER(
   IF(J_V="SI",(Datos!L31-Datos!V31)/Datos!V31,(Datos!L31+Datos!AB31-(Datos!V31+Datos!AJ31))/(Datos!V31+Datos!AJ31))
     ),IF(J_V="SI",(Datos!L31-Datos!V31)/Datos!V31,(Datos!L31+Datos!AB31-(Datos!V31+Datos!AJ31))/(Datos!V31+Datos!AJ31))," - ")</f>
        <v>2.7830832196452934E-2</v>
      </c>
      <c r="H31" s="411">
        <f>IF(ISNUMBER((Datos!M31-Datos!W31)/Datos!W31),(Datos!M31-Datos!W31)/Datos!W31," - ")</f>
        <v>0.20200000000000001</v>
      </c>
      <c r="I31" s="408">
        <f>IF(ISNUMBER((Tasas!C31-Datos!BE31)/Datos!BE31),(Tasas!C31-Datos!BE31)/Datos!BE31," - ")</f>
        <v>-1.06314614666268E-2</v>
      </c>
      <c r="J31" s="409">
        <f>IF(ISNUMBER((Tasas!D31-Datos!BF31)/Datos!BF31),(Tasas!D31-Datos!BF31)/Datos!BF31," - ")</f>
        <v>-0.15298671326254601</v>
      </c>
      <c r="K31" s="410">
        <f>IF(ISNUMBER((Tasas!E31-Datos!BG31)/Datos!BG31),(Tasas!E31-Datos!BG31)/Datos!BG31," - ")</f>
        <v>-5.5500877114496869E-3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0.40499596698325757</v>
      </c>
      <c r="E33" s="303">
        <f t="shared" si="1"/>
        <v>0.19211531843834245</v>
      </c>
      <c r="F33" s="303">
        <f t="shared" si="1"/>
        <v>0.18040059129117719</v>
      </c>
      <c r="G33" s="304">
        <f t="shared" si="1"/>
        <v>0.41696135539943935</v>
      </c>
      <c r="H33" s="310">
        <f t="shared" si="1"/>
        <v>0.27382132870898312</v>
      </c>
      <c r="I33" s="302">
        <f t="shared" si="1"/>
        <v>0.23834353678798034</v>
      </c>
      <c r="J33" s="303">
        <f t="shared" si="1"/>
        <v>0.61359605956880825</v>
      </c>
      <c r="K33" s="304">
        <f t="shared" si="1"/>
        <v>0.11867146616651815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fvqwELm+1fafCwticLla5WNuyje43thNo4yv0tT4+oRv9D/Up93U8MwUgpAY8W+NAbOHNuSoM2L6a+7Iz2Ww==" saltValue="sk2JOJj8xVAB6znDQ9Ww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